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305" windowHeight="9900" activeTab="0"/>
  </bookViews>
  <sheets>
    <sheet name="Obliczenia" sheetId="1" r:id="rId1"/>
    <sheet name="Informacje" sheetId="2" r:id="rId2"/>
    <sheet name="Liczby" sheetId="3" r:id="rId3"/>
    <sheet name="Wykresy" sheetId="4" r:id="rId4"/>
    <sheet name="Fortran" sheetId="5" r:id="rId5"/>
  </sheets>
  <definedNames>
    <definedName name="_xlfn.IFERROR" hidden="1">#NAME?</definedName>
    <definedName name="bet">'Obliczenia'!$C$29</definedName>
    <definedName name="Beta">'Obliczenia'!$K$21</definedName>
    <definedName name="beta1">#REF!</definedName>
    <definedName name="betaxx">'Liczby'!$D$6:$D$110</definedName>
    <definedName name="delta">'Liczby'!$L$2</definedName>
    <definedName name="ec">'Obliczenia'!$C$27</definedName>
    <definedName name="Ekin">'Obliczenia'!$K$22</definedName>
    <definedName name="em">'Obliczenia'!$G$14</definedName>
    <definedName name="etot">'Liczby'!$B$6:$B$110</definedName>
    <definedName name="Gamma">'Obliczenia'!$K$20</definedName>
    <definedName name="gamma1">#REF!</definedName>
    <definedName name="gammaxx">'Liczby'!$E$6:$E$110</definedName>
    <definedName name="nex23">'Liczby'!$A$29</definedName>
    <definedName name="next">'Liczby'!$A$7</definedName>
    <definedName name="next10">'Liczby'!$A$16</definedName>
    <definedName name="next11">'Liczby'!$A$17</definedName>
    <definedName name="next12">'Liczby'!$A$18</definedName>
    <definedName name="next13">'Liczby'!$A$19</definedName>
    <definedName name="next14">'Liczby'!$A$20</definedName>
    <definedName name="next14a">'Liczby'!$A$20</definedName>
    <definedName name="next15">'Liczby'!$A$21</definedName>
    <definedName name="next16">'Liczby'!$A$22</definedName>
    <definedName name="next17">'Liczby'!$A$23</definedName>
    <definedName name="next17a">'Liczby'!$A$23</definedName>
    <definedName name="next18">'Liczby'!$A$24</definedName>
    <definedName name="next19">'Liczby'!$A$25</definedName>
    <definedName name="next2">'Liczby'!$A$8</definedName>
    <definedName name="next20">'Liczby'!$A$26</definedName>
    <definedName name="next21">'Liczby'!$A$27</definedName>
    <definedName name="next22">'Liczby'!$A$28</definedName>
    <definedName name="next23">'Liczby'!$A$29</definedName>
    <definedName name="next24">'Liczby'!$A$30</definedName>
    <definedName name="next25">'Liczby'!$A$31</definedName>
    <definedName name="next3">'Liczby'!$A$9</definedName>
    <definedName name="next4">'Liczby'!$A$10</definedName>
    <definedName name="next5">'Liczby'!$A$11</definedName>
    <definedName name="next6">'Liczby'!$A$12</definedName>
    <definedName name="next7">'Liczby'!$A$13</definedName>
    <definedName name="next8">'Liczby'!$A$12</definedName>
    <definedName name="next8a">'Liczby'!$A$14</definedName>
    <definedName name="next9">'Liczby'!$A$15</definedName>
    <definedName name="nint">'Liczby'!$I$2</definedName>
    <definedName name="nn26">'Liczby'!$A$32</definedName>
    <definedName name="nn27">'Liczby'!$A$33</definedName>
    <definedName name="nn28">'Liczby'!$A$34</definedName>
    <definedName name="nn29">'Liczby'!$A$35</definedName>
    <definedName name="nn30">'Liczby'!$A$36</definedName>
    <definedName name="nn31">'Liczby'!$A$37</definedName>
    <definedName name="nn32">'Liczby'!$A$38</definedName>
    <definedName name="nn33">'Liczby'!$A$40</definedName>
    <definedName name="nn33a">'Liczby'!$A$39</definedName>
    <definedName name="nn34">'Liczby'!$A$40</definedName>
    <definedName name="nn35">'Liczby'!$A$41</definedName>
    <definedName name="nn36">'Liczby'!$A$42</definedName>
    <definedName name="nn37">'Liczby'!$A$43</definedName>
    <definedName name="nn38">'Liczby'!$A$44</definedName>
    <definedName name="nn39">'Liczby'!$A$45</definedName>
    <definedName name="nn40">'Liczby'!$A$46</definedName>
    <definedName name="nn41">'Liczby'!$A$47</definedName>
    <definedName name="nn42">'Liczby'!$A$48</definedName>
    <definedName name="nn43">'Liczby'!$A$49</definedName>
    <definedName name="nn44">'Liczby'!$A$50</definedName>
    <definedName name="nn45">'Liczby'!$A$51</definedName>
    <definedName name="nn46">'Liczby'!$A$52</definedName>
    <definedName name="nn47">'Liczby'!$A$53</definedName>
    <definedName name="nn48">'Liczby'!$A$54</definedName>
    <definedName name="nn49">'Liczby'!$A$55</definedName>
    <definedName name="nrcz">'Obliczenia'!$D$14</definedName>
    <definedName name="nrval">'Obliczenia'!$D$18</definedName>
    <definedName name="p">'Obliczenia'!$D$21</definedName>
    <definedName name="pedmax">'Obliczenia'!$D$21</definedName>
    <definedName name="Pęd">'Obliczenia'!$K$23</definedName>
    <definedName name="pmax">'Liczby'!$F$2</definedName>
    <definedName name="pmin">'Liczby'!$C$2</definedName>
    <definedName name="Rapid">'Obliczenia'!$K$19</definedName>
    <definedName name="TOF">'Obliczenia'!$K$18</definedName>
    <definedName name="val">'Obliczenia'!$D$19</definedName>
    <definedName name="xx">'Liczby'!$A$6:$A$110</definedName>
  </definedNames>
  <calcPr fullCalcOnLoad="1"/>
</workbook>
</file>

<file path=xl/sharedStrings.xml><?xml version="1.0" encoding="utf-8"?>
<sst xmlns="http://schemas.openxmlformats.org/spreadsheetml/2006/main" count="282" uniqueCount="244">
  <si>
    <t>Ekin</t>
  </si>
  <si>
    <t>Beta</t>
  </si>
  <si>
    <t>Gamma</t>
  </si>
  <si>
    <t>Rapid</t>
  </si>
  <si>
    <t>TOF</t>
  </si>
  <si>
    <t>Cząstka:</t>
  </si>
  <si>
    <t>1 - elektron</t>
  </si>
  <si>
    <t>2 - mion</t>
  </si>
  <si>
    <t>3 - pi0</t>
  </si>
  <si>
    <t>4 -pi+-</t>
  </si>
  <si>
    <t>5- kaon+-</t>
  </si>
  <si>
    <t>6 - kaon0</t>
  </si>
  <si>
    <t>7 - eta0</t>
  </si>
  <si>
    <t>8 - rho</t>
  </si>
  <si>
    <t>9 - omega</t>
  </si>
  <si>
    <t>10-proton</t>
  </si>
  <si>
    <t xml:space="preserve">11-neut </t>
  </si>
  <si>
    <t>12-lamb.</t>
  </si>
  <si>
    <t>13-deut</t>
  </si>
  <si>
    <t>14-alfa</t>
  </si>
  <si>
    <t>Wybierz numer cząstki:</t>
  </si>
  <si>
    <t>Masa, MeV</t>
  </si>
  <si>
    <t>Wielkość:</t>
  </si>
  <si>
    <t>2 - Ekin</t>
  </si>
  <si>
    <t>1 - Pęd</t>
  </si>
  <si>
    <t>3 - Beta</t>
  </si>
  <si>
    <t>4 - Gamma</t>
  </si>
  <si>
    <t>6-TOF(1m)</t>
  </si>
  <si>
    <t>Podaj wartość:</t>
  </si>
  <si>
    <t>Pęd</t>
  </si>
  <si>
    <t>Rapidity</t>
  </si>
  <si>
    <t>TOF (1m)</t>
  </si>
  <si>
    <t>Masa</t>
  </si>
  <si>
    <t>En-kinet</t>
  </si>
  <si>
    <t>En-całkowita</t>
  </si>
  <si>
    <t xml:space="preserve">Weryfikacja : </t>
  </si>
  <si>
    <t>5 - Rapidity</t>
  </si>
  <si>
    <t>Pęd=</t>
  </si>
  <si>
    <t>Pamiętaj:</t>
  </si>
  <si>
    <r>
      <t xml:space="preserve"> </t>
    </r>
    <r>
      <rPr>
        <b/>
        <sz val="10"/>
        <color indexed="60"/>
        <rFont val="Arial"/>
        <family val="2"/>
      </rPr>
      <t xml:space="preserve">&lt;= Tu nie może być wartości ujemnej. </t>
    </r>
  </si>
  <si>
    <t xml:space="preserve">      PROGRAM RK</t>
  </si>
  <si>
    <t xml:space="preserve">      DIMENSION AM(20)</t>
  </si>
  <si>
    <t xml:space="preserve">      DATA (AM(I),I=1,13)</t>
  </si>
  <si>
    <t xml:space="preserve">     =/0.5110034,105.65943,134.963,139.5673,493.667,497.67,</t>
  </si>
  <si>
    <t xml:space="preserve">     =548.8,769.,783.,</t>
  </si>
  <si>
    <t xml:space="preserve">     =938.2796,939.5731,1875.613,- /</t>
  </si>
  <si>
    <t xml:space="preserve">      DATA CC/29.979246/  ! speed of lihgt (cm/ns)</t>
  </si>
  <si>
    <t xml:space="preserve">      NMAX=13</t>
  </si>
  <si>
    <t xml:space="preserve">      PRINT *</t>
  </si>
  <si>
    <t xml:space="preserve">   99 PRINT * ,' ======== MENU ============'</t>
  </si>
  <si>
    <t xml:space="preserve">      PRINT * ,' 1. Particle parameters    '</t>
  </si>
  <si>
    <t xml:space="preserve">      PRINT * ,' 2. 2-Particle correlations'</t>
  </si>
  <si>
    <t xml:space="preserve">      PRINT * ,' 0. Exit                   '</t>
  </si>
  <si>
    <t xml:space="preserve">      PRINT * ,' =========================='</t>
  </si>
  <si>
    <t xml:space="preserve">      READ (*,*,ERR=9) I</t>
  </si>
  <si>
    <t xml:space="preserve">      IF(I.EQ.0) GO TO 100</t>
  </si>
  <si>
    <t xml:space="preserve">      IF(I.LT.0.OR.I.GT.2) GO TO 9</t>
  </si>
  <si>
    <t xml:space="preserve">      PRINT *,' ================= "I" - Particles ================'</t>
  </si>
  <si>
    <t xml:space="preserve">      PRINT *,'  1-e      2-mi     3-Pi0     4-Pi(+-)   5-K(+-)   '</t>
  </si>
  <si>
    <t xml:space="preserve">      PRINT *,'  6-K0     7-Eta,   8-ro      9-omega    10-Proton '</t>
  </si>
  <si>
    <t xml:space="preserve">      PRINT *,' 11-Neut. 12-Deut. 13-Lambda 14-Particle mass.    '</t>
  </si>
  <si>
    <t xml:space="preserve">      IF(I.EQ.1) GO TO 1</t>
  </si>
  <si>
    <t xml:space="preserve">      IF(I.EQ.2) GO TO 2</t>
  </si>
  <si>
    <t xml:space="preserve">    9 PRINT *,'*** INCORRECT NUMBER ***'</t>
  </si>
  <si>
    <t xml:space="preserve">      GO TO 99</t>
  </si>
  <si>
    <t xml:space="preserve">    1 PRINT *,' ================= "J" - PARAMETERS [ MeV ] ======='</t>
  </si>
  <si>
    <t xml:space="preserve">      PRINT *,' 1-Momentum 2-Ekin. 3-Beta 4-Gamma 5-Rapidity 6-TOF'</t>
  </si>
  <si>
    <t xml:space="preserve">      PRINT *,' =================================================='</t>
  </si>
  <si>
    <t xml:space="preserve">      PRINT *,' INPUT: I, J, Value,'</t>
  </si>
  <si>
    <t xml:space="preserve">      READ (*,*,ERR=9) I,J,VAL</t>
  </si>
  <si>
    <t xml:space="preserve">      IF(I.EQ.0) GO TO 99</t>
  </si>
  <si>
    <t xml:space="preserve">      IF(I.LT.1.OR.J.LT.1.OR.I.GT.NMAX.OR.J.GT.6) GO TO 9</t>
  </si>
  <si>
    <t xml:space="preserve">      IF(I.LE.NMAX) THEN</t>
  </si>
  <si>
    <t xml:space="preserve">      EM=AM(I)</t>
  </si>
  <si>
    <t xml:space="preserve">      ELSE</t>
  </si>
  <si>
    <t xml:space="preserve">      PRINT *,'INPUT Mass:[Mev]'</t>
  </si>
  <si>
    <t xml:space="preserve">      READ (*,*) EM</t>
  </si>
  <si>
    <t xml:space="preserve">      END IF</t>
  </si>
  <si>
    <t>C === MOMENTUM FROM OTHER PARAMETERS ===</t>
  </si>
  <si>
    <t xml:space="preserve">      IF(J.EQ.1) P=VAL   ! momentum</t>
  </si>
  <si>
    <t xml:space="preserve">      IF(J.EQ.2) THEN    ! E-kin</t>
  </si>
  <si>
    <t xml:space="preserve">      EC=VAL+EM</t>
  </si>
  <si>
    <t xml:space="preserve">      P=SQRT(EC**2-EM**2)</t>
  </si>
  <si>
    <t xml:space="preserve">      IF(J.EQ.3) THEN    ! beta</t>
  </si>
  <si>
    <t xml:space="preserve">      IF(VAL.LT.0..OR.VAL.GT.1.) GO TO 9</t>
  </si>
  <si>
    <t xml:space="preserve">      GAM=1./SQRT(1.-VAL**2)</t>
  </si>
  <si>
    <t xml:space="preserve">      P=VAL*GAM*EM</t>
  </si>
  <si>
    <t xml:space="preserve">      IF(J.EQ.4) THEN    ! Gamma</t>
  </si>
  <si>
    <t xml:space="preserve">      IF(VAL.LT.1.) GO TO 9</t>
  </si>
  <si>
    <t xml:space="preserve">      P=SQRT(VAL**2-1.)*EM</t>
  </si>
  <si>
    <t xml:space="preserve">      IF(J.EQ.5) THEN    ! rapidity</t>
  </si>
  <si>
    <t xml:space="preserve">      VAL=TANH(VAL)</t>
  </si>
  <si>
    <t xml:space="preserve">      IF(J.EQ.6) THEN ! Time of Flight.</t>
  </si>
  <si>
    <t xml:space="preserve">      IF(VAL.LT.3.33638) GO TO 9</t>
  </si>
  <si>
    <t xml:space="preserve">      BE=100./(VAL*CC) ! TOF--&gt; beta</t>
  </si>
  <si>
    <t xml:space="preserve">      GAM=1./SQRT(1.-BE**2)</t>
  </si>
  <si>
    <t xml:space="preserve">      P=BE*GAM*EM</t>
  </si>
  <si>
    <t xml:space="preserve"> 10   CONTINUE</t>
  </si>
  <si>
    <t xml:space="preserve">      EC=SQRT(P*P+EM*EM)        ! Total energy</t>
  </si>
  <si>
    <t xml:space="preserve">      EK=EC-EM                  ! Kinetic energy</t>
  </si>
  <si>
    <t xml:space="preserve">      BET=P/EC                  ! Beta</t>
  </si>
  <si>
    <t xml:space="preserve">      GAM=1./SQRT(1.-BET**2)    ! Gamma</t>
  </si>
  <si>
    <t xml:space="preserve">      Y=0.5*LOG((EC+P)/(EC-P))  ! Rapidity</t>
  </si>
  <si>
    <t xml:space="preserve">      TOF=100./(BET*CC)         ! TOF (100cm)</t>
  </si>
  <si>
    <t xml:space="preserve">      PRINT *,' === PARTICLE PARAMETERS ==='</t>
  </si>
  <si>
    <t xml:space="preserve">      PRINT *,' Mass..........',EM</t>
  </si>
  <si>
    <t xml:space="preserve">      PRINT *,' Momentum......',P</t>
  </si>
  <si>
    <t xml:space="preserve">      PRINT *,' Tot.Energy....',EC</t>
  </si>
  <si>
    <t xml:space="preserve">      PRINT *,' Kin.Energy....',EK</t>
  </si>
  <si>
    <t xml:space="preserve">      PRINT *,' Beta=v/c......',BET</t>
  </si>
  <si>
    <t xml:space="preserve">      PRINT *,' Gamma.........',GAM</t>
  </si>
  <si>
    <t xml:space="preserve">      PRINT *,' Rapidity......',Y</t>
  </si>
  <si>
    <t xml:space="preserve">      PRINT *,' TOF(1m),(ns)..',TOF</t>
  </si>
  <si>
    <t xml:space="preserve">      PRINT *,' ==========================='</t>
  </si>
  <si>
    <t>C==== TWO PARTICLE CORRELATION ====</t>
  </si>
  <si>
    <t xml:space="preserve">    2 PRINT *,' ====================================='</t>
  </si>
  <si>
    <t xml:space="preserve">      PRINT *,' INPUT: I,P(I), J,P(J), Rel.Angle(deg)'</t>
  </si>
  <si>
    <t xml:space="preserve">      READ (*,*,ERR=9) I,P1,J,P2,ALF</t>
  </si>
  <si>
    <t xml:space="preserve">      IF(I.LT.1.OR.J.LT.1) GO TO 9</t>
  </si>
  <si>
    <t xml:space="preserve">      EM1=AM(I)</t>
  </si>
  <si>
    <t xml:space="preserve">      PRINT *,'INPUT Mass(I):[Mev]'</t>
  </si>
  <si>
    <t xml:space="preserve">      READ (*,*) EM1</t>
  </si>
  <si>
    <t xml:space="preserve">      IF(J.LE.NMAX) THEN</t>
  </si>
  <si>
    <t xml:space="preserve">      EM2=AM(J)</t>
  </si>
  <si>
    <t xml:space="preserve">      PRINT *,'INPUT Mass(J):[Mev]'</t>
  </si>
  <si>
    <t xml:space="preserve">      READ (*,*) EM2</t>
  </si>
  <si>
    <t xml:space="preserve">      RALF=ALF/57.29578</t>
  </si>
  <si>
    <t xml:space="preserve">      PX1=P1</t>
  </si>
  <si>
    <t xml:space="preserve">      PY1=0.</t>
  </si>
  <si>
    <t xml:space="preserve">      PZ1=0.</t>
  </si>
  <si>
    <t xml:space="preserve">      PX2=P2*COS(RALF)</t>
  </si>
  <si>
    <t xml:space="preserve">      PY2=P2*SIN(RALF)</t>
  </si>
  <si>
    <t xml:space="preserve">      PZ2=0.</t>
  </si>
  <si>
    <t xml:space="preserve">      QX=PX1-PX2</t>
  </si>
  <si>
    <t xml:space="preserve">      QY=PY1-PY2</t>
  </si>
  <si>
    <t xml:space="preserve">      QZ=PZ1-PZ2</t>
  </si>
  <si>
    <t xml:space="preserve">      QK=QX**2+QY**2+QZ**2</t>
  </si>
  <si>
    <t xml:space="preserve">      Q=SQRT(QK)</t>
  </si>
  <si>
    <t xml:space="preserve">      PX=PX1+PX2</t>
  </si>
  <si>
    <t xml:space="preserve">      PY=PY1+PY2</t>
  </si>
  <si>
    <t xml:space="preserve">      PZ=PZ1+PZ2</t>
  </si>
  <si>
    <t xml:space="preserve">      PK=PX**2+PY**2+PZ**2</t>
  </si>
  <si>
    <t xml:space="preserve">      P=SQRT(PK)</t>
  </si>
  <si>
    <t xml:space="preserve">      EP1=SQRT(P1**2+EM1**2)</t>
  </si>
  <si>
    <t xml:space="preserve">      EP2=SQRT(P2**2+EM2**2)</t>
  </si>
  <si>
    <t xml:space="preserve">      E=EP1+EP2</t>
  </si>
  <si>
    <t xml:space="preserve">      EMK=E*E-PK</t>
  </si>
  <si>
    <t xml:space="preserve">      EM=SQRT(EMK)</t>
  </si>
  <si>
    <t xml:space="preserve">      QE=EP1-EP2</t>
  </si>
  <si>
    <t xml:space="preserve">      Q0=ABS(QE)</t>
  </si>
  <si>
    <t xml:space="preserve">      XN=PX/P</t>
  </si>
  <si>
    <t xml:space="preserve">      YN=PY/P</t>
  </si>
  <si>
    <t xml:space="preserve">      ZN=PZ/P</t>
  </si>
  <si>
    <t xml:space="preserve">      QL=QX*XN+QY*YN+QZ*ZN</t>
  </si>
  <si>
    <t xml:space="preserve">      QLX=QL*XN</t>
  </si>
  <si>
    <t xml:space="preserve">      QLY=QL*YN</t>
  </si>
  <si>
    <t xml:space="preserve">      QLZ=QL*ZN</t>
  </si>
  <si>
    <t xml:space="preserve">      QTX=QX-QLX</t>
  </si>
  <si>
    <t xml:space="preserve">      QTY=QY-QLY</t>
  </si>
  <si>
    <t xml:space="preserve">      QTZ=QZ-QLZ</t>
  </si>
  <si>
    <t xml:space="preserve">      QTK=QTX**2+QTY**2+QTZ**2</t>
  </si>
  <si>
    <t xml:space="preserve">      QT=SQRT(QTK)</t>
  </si>
  <si>
    <t xml:space="preserve">      V=P/E</t>
  </si>
  <si>
    <t xml:space="preserve">      GAM=1./SQRT(1.-V**2)</t>
  </si>
  <si>
    <t xml:space="preserve">      VGAM=V*GAM</t>
  </si>
  <si>
    <t xml:space="preserve">      QK12=QT**2+(Q0/VGAM)**2</t>
  </si>
  <si>
    <t xml:space="preserve">      Q12=SQRT(QK12)</t>
  </si>
  <si>
    <t xml:space="preserve">      AKS=0.5*Q12</t>
  </si>
  <si>
    <t>C==== ========GAMOW-FACTOR============</t>
  </si>
  <si>
    <t>C     ALFA=1./137.036</t>
  </si>
  <si>
    <t>C     PIETA=COUL*2.*PI*(ALFA*PICH/Q12)</t>
  </si>
  <si>
    <t>C     GAMOW=PIETA/(EXP(PIETA)-1.)</t>
  </si>
  <si>
    <t>C==== PRINT ====</t>
  </si>
  <si>
    <t xml:space="preserve">      PRINT *,'========== TWO-PARTICLE SYSTEM =========='</t>
  </si>
  <si>
    <t xml:space="preserve">      PRINT *,'M1,M2.......',EM1,EM2</t>
  </si>
  <si>
    <t xml:space="preserve">      PRINT *,'P1,P2.......',P1,P2</t>
  </si>
  <si>
    <t xml:space="preserve">      PRINT *,'P=|P1+P2|...',P</t>
  </si>
  <si>
    <t xml:space="preserve">      PRINT *,'E=E1+E2.....',E</t>
  </si>
  <si>
    <t xml:space="preserve">      PRINT *,'V=P/E,Gamma.',V,GAM</t>
  </si>
  <si>
    <t xml:space="preserve">      PRINT *,'Q=|P1-P2|...',Q</t>
  </si>
  <si>
    <t xml:space="preserve">      PRINT *,'Qt=Qtransv..',QT</t>
  </si>
  <si>
    <t xml:space="preserve">      PRINT *,'Ql=Qparall..',QL</t>
  </si>
  <si>
    <t xml:space="preserve">      PRINT *,'Q0=|E1-E2|..',Q0</t>
  </si>
  <si>
    <t xml:space="preserve">      PRINT *,'Minv........',EM</t>
  </si>
  <si>
    <t xml:space="preserve">      PRINT *,'Qinv=2k*....',Q12</t>
  </si>
  <si>
    <t xml:space="preserve">      PRINT *,'========================================='</t>
  </si>
  <si>
    <t xml:space="preserve"> 100  STOP</t>
  </si>
  <si>
    <t xml:space="preserve">      END</t>
  </si>
  <si>
    <t>Wybierz numer wielkości:</t>
  </si>
  <si>
    <t>Informacje dla użytkownika</t>
  </si>
  <si>
    <t>zielonym</t>
  </si>
  <si>
    <t xml:space="preserve">4. W tych komórkach można wpisywać wartości liczbowe z zakresu, </t>
  </si>
  <si>
    <r>
      <t xml:space="preserve">    diagnostyką komputera lub wartością </t>
    </r>
    <r>
      <rPr>
        <b/>
        <sz val="12"/>
        <color indexed="8"/>
        <rFont val="Arial"/>
        <family val="2"/>
      </rPr>
      <t>-1</t>
    </r>
    <r>
      <rPr>
        <sz val="12"/>
        <color indexed="8"/>
        <rFont val="Arial"/>
        <family val="2"/>
      </rPr>
      <t xml:space="preserve"> w komórce weryfikacji.</t>
    </r>
  </si>
  <si>
    <t>Program fortranowski, na podstawie którego opracowano tę aplikację</t>
  </si>
  <si>
    <t>5. Wprowadzenie liczby spoza zakresu lub niepoprawnego znaku, jest sygnalizowane</t>
  </si>
  <si>
    <t>pmin</t>
  </si>
  <si>
    <t>pmax</t>
  </si>
  <si>
    <t>delta</t>
  </si>
  <si>
    <t>nint</t>
  </si>
  <si>
    <t>En-całk.</t>
  </si>
  <si>
    <t>En-kinet.</t>
  </si>
  <si>
    <t>3. Wyjątek stanowią trzy komórki oznaczone kolorem  ) ==&gt;</t>
  </si>
  <si>
    <t>Można dodać inne zależności wykorzystujęc wartości liczbowe z arkusza "Liczby"</t>
  </si>
  <si>
    <t>MeV</t>
  </si>
  <si>
    <t>Wykresy wybranych zależności w zakresie określonym w arkuszu "Dane"</t>
  </si>
  <si>
    <t>Uwaga !</t>
  </si>
  <si>
    <t>Przykładowy wykres</t>
  </si>
  <si>
    <r>
      <t xml:space="preserve">Więcej wykresów w arkuszu </t>
    </r>
    <r>
      <rPr>
        <b/>
        <sz val="11"/>
        <color indexed="8"/>
        <rFont val="Czcionka tekstu podstawowego"/>
        <family val="0"/>
      </rPr>
      <t>Wykresy</t>
    </r>
  </si>
  <si>
    <r>
      <rPr>
        <b/>
        <sz val="11"/>
        <color indexed="60"/>
        <rFont val="Czcionka tekstu podstawowego"/>
        <family val="0"/>
      </rPr>
      <t>P</t>
    </r>
    <r>
      <rPr>
        <b/>
        <vertAlign val="subscript"/>
        <sz val="11"/>
        <color indexed="60"/>
        <rFont val="Czcionka tekstu podstawowego"/>
        <family val="0"/>
      </rPr>
      <t>max</t>
    </r>
    <r>
      <rPr>
        <b/>
        <sz val="11"/>
        <color indexed="8"/>
        <rFont val="Czcionka tekstu podstawowego"/>
        <family val="2"/>
      </rPr>
      <t>=</t>
    </r>
  </si>
  <si>
    <r>
      <t xml:space="preserve">Wartości wszystkich wielkości dla cząstki o masie </t>
    </r>
    <r>
      <rPr>
        <b/>
        <sz val="12"/>
        <color indexed="60"/>
        <rFont val="Arial"/>
        <family val="2"/>
      </rPr>
      <t>m</t>
    </r>
    <r>
      <rPr>
        <b/>
        <vertAlign val="subscript"/>
        <sz val="12"/>
        <color indexed="60"/>
        <rFont val="Arial"/>
        <family val="2"/>
      </rPr>
      <t>0</t>
    </r>
    <r>
      <rPr>
        <b/>
        <sz val="12"/>
        <color indexed="8"/>
        <rFont val="Arial"/>
        <family val="2"/>
      </rPr>
      <t xml:space="preserve"> w funkcji jej pędu w zakresie od zera do</t>
    </r>
    <r>
      <rPr>
        <b/>
        <sz val="12"/>
        <color indexed="60"/>
        <rFont val="Arial"/>
        <family val="2"/>
      </rPr>
      <t xml:space="preserve"> P</t>
    </r>
    <r>
      <rPr>
        <b/>
        <vertAlign val="subscript"/>
        <sz val="12"/>
        <color indexed="60"/>
        <rFont val="Arial"/>
        <family val="2"/>
      </rPr>
      <t>max</t>
    </r>
  </si>
  <si>
    <r>
      <rPr>
        <b/>
        <sz val="12"/>
        <color indexed="60"/>
        <rFont val="Arial"/>
        <family val="2"/>
      </rPr>
      <t>m</t>
    </r>
    <r>
      <rPr>
        <b/>
        <vertAlign val="subscript"/>
        <sz val="12"/>
        <color indexed="60"/>
        <rFont val="Arial"/>
        <family val="2"/>
      </rPr>
      <t>0</t>
    </r>
    <r>
      <rPr>
        <b/>
        <sz val="12"/>
        <color indexed="60"/>
        <rFont val="Arial"/>
        <family val="2"/>
      </rPr>
      <t>c</t>
    </r>
    <r>
      <rPr>
        <b/>
        <vertAlign val="superscript"/>
        <sz val="12"/>
        <color indexed="60"/>
        <rFont val="Arial"/>
        <family val="2"/>
      </rPr>
      <t>2</t>
    </r>
    <r>
      <rPr>
        <b/>
        <sz val="12"/>
        <color indexed="8"/>
        <rFont val="Arial"/>
        <family val="2"/>
      </rPr>
      <t>=</t>
    </r>
  </si>
  <si>
    <r>
      <rPr>
        <b/>
        <sz val="10"/>
        <color indexed="8"/>
        <rFont val="Arial"/>
        <family val="2"/>
      </rPr>
      <t>jednostki:</t>
    </r>
    <r>
      <rPr>
        <sz val="10"/>
        <color indexed="8"/>
        <rFont val="Arial"/>
        <family val="2"/>
      </rPr>
      <t xml:space="preserve"> energia/pęd/masa, </t>
    </r>
    <r>
      <rPr>
        <b/>
        <i/>
        <sz val="10"/>
        <color indexed="8"/>
        <rFont val="Arial"/>
        <family val="2"/>
      </rPr>
      <t>MeV</t>
    </r>
    <r>
      <rPr>
        <sz val="10"/>
        <color indexed="8"/>
        <rFont val="Arial"/>
        <family val="2"/>
      </rPr>
      <t>; TOF,</t>
    </r>
    <r>
      <rPr>
        <b/>
        <sz val="10"/>
        <color indexed="8"/>
        <rFont val="Arial"/>
        <family val="2"/>
      </rPr>
      <t xml:space="preserve"> </t>
    </r>
    <r>
      <rPr>
        <b/>
        <i/>
        <sz val="10"/>
        <color indexed="8"/>
        <rFont val="Arial"/>
        <family val="2"/>
      </rPr>
      <t>ns</t>
    </r>
    <r>
      <rPr>
        <b/>
        <sz val="10"/>
        <color indexed="8"/>
        <rFont val="Arial"/>
        <family val="2"/>
      </rPr>
      <t xml:space="preserve"> </t>
    </r>
  </si>
  <si>
    <t>MeV/c</t>
  </si>
  <si>
    <t>ns</t>
  </si>
  <si>
    <t>Wielkość</t>
  </si>
  <si>
    <t xml:space="preserve">gdzie należy wpisywać </t>
  </si>
  <si>
    <t>wybrane wartości liczbowe.</t>
  </si>
  <si>
    <t xml:space="preserve">Arkusz jest zablokowany, </t>
  </si>
  <si>
    <t>za wyjątkiem zielonych pól,</t>
  </si>
  <si>
    <t xml:space="preserve">TOF&gt; 3,33638 ns </t>
  </si>
  <si>
    <t xml:space="preserve">0&lt;beta&lt;1,   gamma&gt;1, </t>
  </si>
  <si>
    <t>Miejsca dziesiętne</t>
  </si>
  <si>
    <r>
      <t xml:space="preserve">oddziela przecinek </t>
    </r>
    <r>
      <rPr>
        <b/>
        <sz val="11"/>
        <color indexed="8"/>
        <rFont val="Czcionka tekstu podstawowego"/>
        <family val="0"/>
      </rPr>
      <t>","</t>
    </r>
  </si>
  <si>
    <t>Wartość</t>
  </si>
  <si>
    <t>Jednostka</t>
  </si>
  <si>
    <r>
      <t>MeV/c</t>
    </r>
    <r>
      <rPr>
        <b/>
        <vertAlign val="superscript"/>
        <sz val="11"/>
        <color indexed="8"/>
        <rFont val="Czcionka tekstu podstawowego"/>
        <family val="0"/>
      </rPr>
      <t>2</t>
    </r>
  </si>
  <si>
    <t>C === RELATIVISTIC KINEMATICS, J. Pluta ===</t>
  </si>
  <si>
    <t>2. Aby odblokować, trzeba w "Narzędzia główne", "Format"", wybrać "Nie chroń arkusza" i podać hasło.</t>
  </si>
  <si>
    <t xml:space="preserve">1. Wybierz (z listy poniżej) numer interesującej cię cząstki  i wpisz w zielonym polu </t>
  </si>
  <si>
    <t>3. Otrzymasz wartości pozostałych wielkości charakteryzujących ruch wybranej cząstki.</t>
  </si>
  <si>
    <t>6. Kolumny "J" i "K" zawierające pomocnicze obliczenia, są ukryte w arkuszu "Dane".</t>
  </si>
  <si>
    <r>
      <t>1. W celu uniknięcia przypadkowych zmian, wszystkie arkusze są</t>
    </r>
    <r>
      <rPr>
        <sz val="12"/>
        <color indexed="8"/>
        <rFont val="Arial"/>
        <family val="2"/>
      </rPr>
      <t xml:space="preserve"> chronione hasłem "</t>
    </r>
    <r>
      <rPr>
        <b/>
        <sz val="12"/>
        <color indexed="8"/>
        <rFont val="Arial"/>
        <family val="2"/>
      </rPr>
      <t>kinematyka</t>
    </r>
    <r>
      <rPr>
        <sz val="12"/>
        <color indexed="8"/>
        <rFont val="Arial"/>
        <family val="2"/>
      </rPr>
      <t>".</t>
    </r>
  </si>
  <si>
    <t xml:space="preserve">   w którym dana wielkośc może się zmieniać.</t>
  </si>
  <si>
    <t>7. Wartości dziesiętne oddziela się przecinkiem np. 1/2=0,5</t>
  </si>
  <si>
    <t>Wyniki:</t>
  </si>
  <si>
    <t>Jan Pluta,  pluta@if.pw.edu.pl</t>
  </si>
  <si>
    <t xml:space="preserve">4. Więcej informacji, w tym: wiadomości dla użytkownika, szczegóły obliczeń, </t>
  </si>
  <si>
    <t xml:space="preserve">    zawierają pozostałe arkusze.</t>
  </si>
  <si>
    <t>Aplikacja pozwala wyznaczyć wartości podstawowych wielkości kinematycznych</t>
  </si>
  <si>
    <r>
      <rPr>
        <b/>
        <sz val="11"/>
        <color indexed="8"/>
        <rFont val="Czcionka tekstu podstawowego"/>
        <family val="0"/>
      </rPr>
      <t>dla wybranej cząstki, jeśli jest znana wartość jednej z nich.</t>
    </r>
    <r>
      <rPr>
        <sz val="11"/>
        <color theme="1"/>
        <rFont val="Czcionka tekstu podstawowego"/>
        <family val="2"/>
      </rPr>
      <t xml:space="preserve"> </t>
    </r>
  </si>
  <si>
    <t>Relatywistyczne relacje kinematyczne</t>
  </si>
  <si>
    <t>Kolejność działań:</t>
  </si>
  <si>
    <t xml:space="preserve">2. Wybierz numer wielkości, której wartość znasz i wpisz te dane w zielonych polach. </t>
  </si>
  <si>
    <t xml:space="preserve">    wartości liczbowe oraz graficzną prezentację podstawych zależności knematycznych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</si>
</sst>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zcionka tekstu podstawowego"/>
      <family val="2"/>
    </font>
    <font>
      <b/>
      <sz val="11"/>
      <color indexed="60"/>
      <name val="Czcionka tekstu podstawowego"/>
      <family val="0"/>
    </font>
    <font>
      <b/>
      <sz val="12"/>
      <color indexed="60"/>
      <name val="Arial"/>
      <family val="2"/>
    </font>
    <font>
      <b/>
      <vertAlign val="subscript"/>
      <sz val="12"/>
      <color indexed="60"/>
      <name val="Arial"/>
      <family val="2"/>
    </font>
    <font>
      <b/>
      <vertAlign val="subscript"/>
      <sz val="11"/>
      <color indexed="60"/>
      <name val="Czcionka tekstu podstawowego"/>
      <family val="0"/>
    </font>
    <font>
      <b/>
      <vertAlign val="superscript"/>
      <sz val="12"/>
      <color indexed="60"/>
      <name val="Arial"/>
      <family val="2"/>
    </font>
    <font>
      <b/>
      <i/>
      <sz val="10"/>
      <color indexed="8"/>
      <name val="Arial"/>
      <family val="2"/>
    </font>
    <font>
      <b/>
      <vertAlign val="superscript"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ourier New"/>
      <family val="3"/>
    </font>
    <font>
      <sz val="10.5"/>
      <color indexed="8"/>
      <name val="Courier New"/>
      <family val="3"/>
    </font>
    <font>
      <b/>
      <u val="single"/>
      <sz val="14"/>
      <color indexed="8"/>
      <name val="Arial"/>
      <family val="2"/>
    </font>
    <font>
      <u val="single"/>
      <sz val="14"/>
      <color indexed="8"/>
      <name val="Arial"/>
      <family val="2"/>
    </font>
    <font>
      <u val="single"/>
      <sz val="11"/>
      <color indexed="8"/>
      <name val="Czcionka tekstu podstawowego"/>
      <family val="2"/>
    </font>
    <font>
      <sz val="11"/>
      <color indexed="56"/>
      <name val="Cambria"/>
      <family val="1"/>
    </font>
    <font>
      <b/>
      <sz val="12"/>
      <color indexed="56"/>
      <name val="Arial"/>
      <family val="2"/>
    </font>
    <font>
      <sz val="11"/>
      <color indexed="56"/>
      <name val="Arial"/>
      <family val="2"/>
    </font>
    <font>
      <b/>
      <u val="single"/>
      <sz val="14"/>
      <color indexed="56"/>
      <name val="Arial"/>
      <family val="2"/>
    </font>
    <font>
      <sz val="10"/>
      <color indexed="8"/>
      <name val="Czcionka tekstu podstawowego"/>
      <family val="2"/>
    </font>
    <font>
      <i/>
      <sz val="11"/>
      <color indexed="8"/>
      <name val="Czcionka tekstu podstawowego"/>
      <family val="0"/>
    </font>
    <font>
      <b/>
      <u val="single"/>
      <sz val="11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u val="single"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ourier New"/>
      <family val="3"/>
    </font>
    <font>
      <sz val="10"/>
      <color theme="1"/>
      <name val="Arial"/>
      <family val="2"/>
    </font>
    <font>
      <b/>
      <sz val="11"/>
      <color rgb="FFC00000"/>
      <name val="Czcionka tekstu podstawowego"/>
      <family val="2"/>
    </font>
    <font>
      <sz val="10.5"/>
      <color theme="1"/>
      <name val="Courier New"/>
      <family val="3"/>
    </font>
    <font>
      <sz val="12"/>
      <color theme="1"/>
      <name val="Arial"/>
      <family val="2"/>
    </font>
    <font>
      <b/>
      <u val="single"/>
      <sz val="14"/>
      <color theme="1"/>
      <name val="Arial"/>
      <family val="2"/>
    </font>
    <font>
      <u val="single"/>
      <sz val="14"/>
      <color theme="1"/>
      <name val="Arial"/>
      <family val="2"/>
    </font>
    <font>
      <u val="single"/>
      <sz val="11"/>
      <color theme="1"/>
      <name val="Czcionka tekstu podstawowego"/>
      <family val="2"/>
    </font>
    <font>
      <sz val="11"/>
      <color rgb="FF002060"/>
      <name val="Cambria"/>
      <family val="1"/>
    </font>
    <font>
      <b/>
      <sz val="12"/>
      <color rgb="FF002060"/>
      <name val="Arial"/>
      <family val="2"/>
    </font>
    <font>
      <sz val="11"/>
      <color rgb="FF002060"/>
      <name val="Arial"/>
      <family val="2"/>
    </font>
    <font>
      <b/>
      <sz val="12"/>
      <color theme="1"/>
      <name val="Arial"/>
      <family val="2"/>
    </font>
    <font>
      <b/>
      <u val="single"/>
      <sz val="14"/>
      <color rgb="FF002060"/>
      <name val="Arial"/>
      <family val="2"/>
    </font>
    <font>
      <sz val="10"/>
      <color theme="1"/>
      <name val="Czcionka tekstu podstawowego"/>
      <family val="2"/>
    </font>
    <font>
      <b/>
      <sz val="10"/>
      <color theme="1"/>
      <name val="Arial"/>
      <family val="2"/>
    </font>
    <font>
      <i/>
      <sz val="11"/>
      <color theme="1"/>
      <name val="Czcionka tekstu podstawowego"/>
      <family val="0"/>
    </font>
    <font>
      <b/>
      <u val="single"/>
      <sz val="11"/>
      <color theme="1"/>
      <name val="Czcionka tekstu podstawowego"/>
      <family val="0"/>
    </font>
    <font>
      <b/>
      <sz val="12"/>
      <color theme="1"/>
      <name val="Czcionka tekstu podstawowego"/>
      <family val="0"/>
    </font>
    <font>
      <u val="single"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20EE1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39D80E"/>
        <bgColor indexed="64"/>
      </patternFill>
    </fill>
    <fill>
      <patternFill patternType="solid">
        <fgColor rgb="FF37DF0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6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5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6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63" fillId="0" borderId="17" xfId="0" applyFont="1" applyBorder="1" applyAlignment="1">
      <alignment/>
    </xf>
    <xf numFmtId="0" fontId="63" fillId="0" borderId="18" xfId="0" applyFont="1" applyBorder="1" applyAlignment="1">
      <alignment/>
    </xf>
    <xf numFmtId="0" fontId="64" fillId="0" borderId="0" xfId="0" applyFont="1" applyAlignment="1">
      <alignment/>
    </xf>
    <xf numFmtId="0" fontId="0" fillId="33" borderId="19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62" fillId="0" borderId="19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5" fillId="0" borderId="0" xfId="0" applyFont="1" applyAlignment="1">
      <alignment/>
    </xf>
    <xf numFmtId="0" fontId="56" fillId="34" borderId="19" xfId="0" applyFont="1" applyFill="1" applyBorder="1" applyAlignment="1">
      <alignment horizontal="center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56" fillId="31" borderId="10" xfId="0" applyFont="1" applyFill="1" applyBorder="1" applyAlignment="1">
      <alignment horizontal="center"/>
    </xf>
    <xf numFmtId="0" fontId="56" fillId="31" borderId="11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56" fillId="35" borderId="19" xfId="0" applyFont="1" applyFill="1" applyBorder="1" applyAlignment="1">
      <alignment horizontal="center"/>
    </xf>
    <xf numFmtId="0" fontId="72" fillId="0" borderId="0" xfId="0" applyFont="1" applyAlignment="1">
      <alignment/>
    </xf>
    <xf numFmtId="0" fontId="63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72" fillId="31" borderId="16" xfId="0" applyFont="1" applyFill="1" applyBorder="1" applyAlignment="1">
      <alignment horizontal="center"/>
    </xf>
    <xf numFmtId="0" fontId="56" fillId="31" borderId="17" xfId="0" applyFont="1" applyFill="1" applyBorder="1" applyAlignment="1">
      <alignment/>
    </xf>
    <xf numFmtId="0" fontId="56" fillId="31" borderId="18" xfId="0" applyFont="1" applyFill="1" applyBorder="1" applyAlignment="1">
      <alignment horizontal="center"/>
    </xf>
    <xf numFmtId="0" fontId="56" fillId="31" borderId="21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56" fillId="36" borderId="20" xfId="0" applyFont="1" applyFill="1" applyBorder="1" applyAlignment="1" applyProtection="1">
      <alignment horizontal="center"/>
      <protection locked="0"/>
    </xf>
    <xf numFmtId="0" fontId="56" fillId="36" borderId="19" xfId="0" applyFont="1" applyFill="1" applyBorder="1" applyAlignment="1" applyProtection="1">
      <alignment horizontal="center"/>
      <protection locked="0"/>
    </xf>
    <xf numFmtId="0" fontId="73" fillId="0" borderId="0" xfId="0" applyFont="1" applyAlignment="1">
      <alignment/>
    </xf>
    <xf numFmtId="0" fontId="56" fillId="0" borderId="19" xfId="0" applyFont="1" applyFill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33" borderId="19" xfId="0" applyFont="1" applyFill="1" applyBorder="1" applyAlignment="1">
      <alignment horizontal="center"/>
    </xf>
    <xf numFmtId="0" fontId="56" fillId="37" borderId="19" xfId="0" applyFont="1" applyFill="1" applyBorder="1" applyAlignment="1" applyProtection="1">
      <alignment horizontal="center"/>
      <protection locked="0"/>
    </xf>
    <xf numFmtId="0" fontId="74" fillId="0" borderId="0" xfId="0" applyFont="1" applyAlignment="1">
      <alignment/>
    </xf>
    <xf numFmtId="0" fontId="0" fillId="0" borderId="0" xfId="0" applyFont="1" applyAlignment="1">
      <alignment/>
    </xf>
    <xf numFmtId="0" fontId="75" fillId="0" borderId="19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7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8" fillId="0" borderId="16" xfId="0" applyFont="1" applyBorder="1" applyAlignment="1">
      <alignment/>
    </xf>
    <xf numFmtId="0" fontId="0" fillId="0" borderId="18" xfId="0" applyBorder="1" applyAlignment="1">
      <alignment/>
    </xf>
    <xf numFmtId="0" fontId="76" fillId="0" borderId="0" xfId="0" applyFont="1" applyAlignment="1">
      <alignment/>
    </xf>
    <xf numFmtId="0" fontId="79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"/>
          <c:y val="-0.0165"/>
          <c:w val="0.9185"/>
          <c:h val="0.99525"/>
        </c:manualLayout>
      </c:layout>
      <c:scatterChart>
        <c:scatterStyle val="smoothMarker"/>
        <c:varyColors val="0"/>
        <c:ser>
          <c:idx val="1"/>
          <c:order val="0"/>
          <c:tx>
            <c:v>Beta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Liczby!$A$6:$A$56</c:f>
              <c:numCache/>
            </c:numRef>
          </c:xVal>
          <c:yVal>
            <c:numRef>
              <c:f>Liczby!$D$6:$D$56</c:f>
              <c:numCache/>
            </c:numRef>
          </c:yVal>
          <c:smooth val="1"/>
        </c:ser>
        <c:ser>
          <c:idx val="2"/>
          <c:order val="1"/>
          <c:tx>
            <c:v>Gamma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Liczby!$A$6:$A$56</c:f>
              <c:numCache/>
            </c:numRef>
          </c:xVal>
          <c:yVal>
            <c:numRef>
              <c:f>Liczby!$E$6:$E$56</c:f>
              <c:numCache/>
            </c:numRef>
          </c:yVal>
          <c:smooth val="1"/>
        </c:ser>
        <c:ser>
          <c:idx val="3"/>
          <c:order val="2"/>
          <c:tx>
            <c:v>Rapidity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Liczby!$A$6:$A$56</c:f>
              <c:numCache/>
            </c:numRef>
          </c:xVal>
          <c:yVal>
            <c:numRef>
              <c:f>Liczby!$F$6:$F$56</c:f>
              <c:numCache/>
            </c:numRef>
          </c:yVal>
          <c:smooth val="1"/>
        </c:ser>
        <c:axId val="20990409"/>
        <c:axId val="54695954"/>
      </c:scatterChart>
      <c:valAx>
        <c:axId val="20990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P, MeV/c</a:t>
                </a:r>
              </a:p>
            </c:rich>
          </c:tx>
          <c:layout>
            <c:manualLayout>
              <c:xMode val="factor"/>
              <c:yMode val="factor"/>
              <c:x val="0.01175"/>
              <c:y val="0.1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4695954"/>
        <c:crosses val="autoZero"/>
        <c:crossBetween val="midCat"/>
        <c:dispUnits/>
      </c:valAx>
      <c:valAx>
        <c:axId val="54695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Wartość</a:t>
                </a:r>
              </a:p>
            </c:rich>
          </c:tx>
          <c:layout>
            <c:manualLayout>
              <c:xMode val="factor"/>
              <c:yMode val="factor"/>
              <c:x val="-0.009"/>
              <c:y val="0.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0990409"/>
        <c:crosses val="autoZero"/>
        <c:crossBetween val="midCat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45"/>
          <c:y val="0.0655"/>
          <c:w val="0.70875"/>
          <c:h val="0.08375"/>
        </c:manualLayout>
      </c:layout>
      <c:overlay val="0"/>
      <c:spPr>
        <a:solidFill>
          <a:srgbClr val="E7F4D8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2F2F2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25"/>
          <c:y val="0.00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625"/>
          <c:y val="-0.00125"/>
          <c:w val="0.93925"/>
          <c:h val="0.99225"/>
        </c:manualLayout>
      </c:layout>
      <c:scatterChart>
        <c:scatterStyle val="smoothMarker"/>
        <c:varyColors val="0"/>
        <c:ser>
          <c:idx val="0"/>
          <c:order val="0"/>
          <c:tx>
            <c:v>TOF - czas przelotu odległości 1m, ns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Liczby!$A$7:$A$56</c:f>
              <c:numCache>
                <c:ptCount val="50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  <c:pt idx="30">
                  <c:v>620</c:v>
                </c:pt>
                <c:pt idx="31">
                  <c:v>640</c:v>
                </c:pt>
                <c:pt idx="32">
                  <c:v>660</c:v>
                </c:pt>
                <c:pt idx="33">
                  <c:v>680</c:v>
                </c:pt>
                <c:pt idx="34">
                  <c:v>700</c:v>
                </c:pt>
                <c:pt idx="35">
                  <c:v>720</c:v>
                </c:pt>
                <c:pt idx="36">
                  <c:v>740</c:v>
                </c:pt>
                <c:pt idx="37">
                  <c:v>760</c:v>
                </c:pt>
                <c:pt idx="38">
                  <c:v>780</c:v>
                </c:pt>
                <c:pt idx="39">
                  <c:v>800</c:v>
                </c:pt>
                <c:pt idx="40">
                  <c:v>820</c:v>
                </c:pt>
                <c:pt idx="41">
                  <c:v>840</c:v>
                </c:pt>
                <c:pt idx="42">
                  <c:v>860</c:v>
                </c:pt>
                <c:pt idx="43">
                  <c:v>880</c:v>
                </c:pt>
                <c:pt idx="44">
                  <c:v>900</c:v>
                </c:pt>
                <c:pt idx="45">
                  <c:v>920</c:v>
                </c:pt>
                <c:pt idx="46">
                  <c:v>940</c:v>
                </c:pt>
                <c:pt idx="47">
                  <c:v>960</c:v>
                </c:pt>
                <c:pt idx="48">
                  <c:v>980</c:v>
                </c:pt>
                <c:pt idx="49">
                  <c:v>1000</c:v>
                </c:pt>
              </c:numCache>
            </c:numRef>
          </c:xVal>
          <c:yVal>
            <c:numRef>
              <c:f>Liczby!$G$7:$G$56</c:f>
              <c:numCache>
                <c:ptCount val="50"/>
                <c:pt idx="0">
                  <c:v>156.5237384342124</c:v>
                </c:pt>
                <c:pt idx="1">
                  <c:v>78.31516487031419</c:v>
                </c:pt>
                <c:pt idx="2">
                  <c:v>52.269273634727725</c:v>
                </c:pt>
                <c:pt idx="3">
                  <c:v>39.26399288757046</c:v>
                </c:pt>
                <c:pt idx="4">
                  <c:v>31.47488948562753</c:v>
                </c:pt>
                <c:pt idx="5">
                  <c:v>26.293803773599787</c:v>
                </c:pt>
                <c:pt idx="6">
                  <c:v>22.60294035107641</c:v>
                </c:pt>
                <c:pt idx="7">
                  <c:v>19.84339083115222</c:v>
                </c:pt>
                <c:pt idx="8">
                  <c:v>17.704641480566877</c:v>
                </c:pt>
                <c:pt idx="9">
                  <c:v>16.00037631876753</c:v>
                </c:pt>
                <c:pt idx="10">
                  <c:v>14.612024014791865</c:v>
                </c:pt>
                <c:pt idx="11">
                  <c:v>13.460531361361735</c:v>
                </c:pt>
                <c:pt idx="12">
                  <c:v>12.491164395070687</c:v>
                </c:pt>
                <c:pt idx="13">
                  <c:v>11.664823335037681</c:v>
                </c:pt>
                <c:pt idx="14">
                  <c:v>10.952831553880424</c:v>
                </c:pt>
                <c:pt idx="15">
                  <c:v>10.333678688082193</c:v>
                </c:pt>
                <c:pt idx="16">
                  <c:v>9.790913238753152</c:v>
                </c:pt>
                <c:pt idx="17">
                  <c:v>9.311737635796685</c:v>
                </c:pt>
                <c:pt idx="18">
                  <c:v>8.886046960635653</c:v>
                </c:pt>
                <c:pt idx="19">
                  <c:v>8.505756044855994</c:v>
                </c:pt>
                <c:pt idx="20">
                  <c:v>8.16431881768303</c:v>
                </c:pt>
                <c:pt idx="21">
                  <c:v>7.856378730768627</c:v>
                </c:pt>
                <c:pt idx="22">
                  <c:v>7.577510366065241</c:v>
                </c:pt>
                <c:pt idx="23">
                  <c:v>7.3240256308679585</c:v>
                </c:pt>
                <c:pt idx="24">
                  <c:v>7.092826455010415</c:v>
                </c:pt>
                <c:pt idx="25">
                  <c:v>6.881291470009864</c:v>
                </c:pt>
                <c:pt idx="26">
                  <c:v>6.687187859814471</c:v>
                </c:pt>
                <c:pt idx="27">
                  <c:v>6.508602090193409</c:v>
                </c:pt>
                <c:pt idx="28">
                  <c:v>6.3438849599234715</c:v>
                </c:pt>
                <c:pt idx="29">
                  <c:v>6.191607632188894</c:v>
                </c:pt>
                <c:pt idx="30">
                  <c:v>6.050526167040543</c:v>
                </c:pt>
                <c:pt idx="31">
                  <c:v>5.9195526956173925</c:v>
                </c:pt>
                <c:pt idx="32">
                  <c:v>5.797731827624923</c:v>
                </c:pt>
                <c:pt idx="33">
                  <c:v>5.684221215017766</c:v>
                </c:pt>
                <c:pt idx="34">
                  <c:v>5.5782754410453474</c:v>
                </c:pt>
                <c:pt idx="35">
                  <c:v>5.479232588468774</c:v>
                </c:pt>
                <c:pt idx="36">
                  <c:v>5.386502980484054</c:v>
                </c:pt>
                <c:pt idx="37">
                  <c:v>5.2995596945138415</c:v>
                </c:pt>
                <c:pt idx="38">
                  <c:v>5.217930531045201</c:v>
                </c:pt>
                <c:pt idx="39">
                  <c:v>5.141191183248409</c:v>
                </c:pt>
                <c:pt idx="40">
                  <c:v>5.068959402714042</c:v>
                </c:pt>
                <c:pt idx="41">
                  <c:v>5.000889995616123</c:v>
                </c:pt>
                <c:pt idx="42">
                  <c:v>4.936670514420969</c:v>
                </c:pt>
                <c:pt idx="43">
                  <c:v>4.876017534769386</c:v>
                </c:pt>
                <c:pt idx="44">
                  <c:v>4.8186734267652245</c:v>
                </c:pt>
                <c:pt idx="45">
                  <c:v>4.764403545672496</c:v>
                </c:pt>
                <c:pt idx="46">
                  <c:v>4.712993779772391</c:v>
                </c:pt>
                <c:pt idx="47">
                  <c:v>4.664248403490406</c:v>
                </c:pt>
                <c:pt idx="48">
                  <c:v>4.61798819236027</c:v>
                </c:pt>
                <c:pt idx="49">
                  <c:v>4.574048763325989</c:v>
                </c:pt>
              </c:numCache>
            </c:numRef>
          </c:yVal>
          <c:smooth val="1"/>
        </c:ser>
        <c:axId val="22501539"/>
        <c:axId val="1187260"/>
      </c:scatterChart>
      <c:valAx>
        <c:axId val="22501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P, MeV</a:t>
                </a:r>
              </a:p>
            </c:rich>
          </c:tx>
          <c:layout>
            <c:manualLayout>
              <c:xMode val="factor"/>
              <c:yMode val="factor"/>
              <c:x val="0.0145"/>
              <c:y val="0.08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187260"/>
        <c:crosses val="autoZero"/>
        <c:crossBetween val="midCat"/>
        <c:dispUnits/>
      </c:valAx>
      <c:valAx>
        <c:axId val="1187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TOF, ns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5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2501539"/>
        <c:crosses val="autoZero"/>
        <c:crossBetween val="midCat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125"/>
          <c:y val="0.0305"/>
          <c:w val="0.74125"/>
          <c:h val="0.095"/>
        </c:manualLayout>
      </c:layout>
      <c:overlay val="0"/>
      <c:spPr>
        <a:solidFill>
          <a:srgbClr val="E7F4D8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2F2F2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25"/>
          <c:y val="-0.00975"/>
          <c:w val="0.90225"/>
          <c:h val="0.978"/>
        </c:manualLayout>
      </c:layout>
      <c:scatterChart>
        <c:scatterStyle val="smoothMarker"/>
        <c:varyColors val="0"/>
        <c:ser>
          <c:idx val="1"/>
          <c:order val="0"/>
          <c:tx>
            <c:v>Beta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Liczby!$A$6:$A$56</c:f>
              <c:numCache>
                <c:ptCount val="5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  <c:pt idx="41">
                  <c:v>820</c:v>
                </c:pt>
                <c:pt idx="42">
                  <c:v>840</c:v>
                </c:pt>
                <c:pt idx="43">
                  <c:v>860</c:v>
                </c:pt>
                <c:pt idx="44">
                  <c:v>880</c:v>
                </c:pt>
                <c:pt idx="45">
                  <c:v>900</c:v>
                </c:pt>
                <c:pt idx="46">
                  <c:v>920</c:v>
                </c:pt>
                <c:pt idx="47">
                  <c:v>940</c:v>
                </c:pt>
                <c:pt idx="48">
                  <c:v>960</c:v>
                </c:pt>
                <c:pt idx="49">
                  <c:v>980</c:v>
                </c:pt>
                <c:pt idx="50">
                  <c:v>1000</c:v>
                </c:pt>
              </c:numCache>
            </c:numRef>
          </c:xVal>
          <c:yVal>
            <c:numRef>
              <c:f>Liczby!$D$6:$D$56</c:f>
              <c:numCache>
                <c:ptCount val="51"/>
                <c:pt idx="0">
                  <c:v>0</c:v>
                </c:pt>
                <c:pt idx="1">
                  <c:v>0.02131076706381188</c:v>
                </c:pt>
                <c:pt idx="2">
                  <c:v>0.042592528985314224</c:v>
                </c:pt>
                <c:pt idx="3">
                  <c:v>0.06381647759329716</c:v>
                </c:pt>
                <c:pt idx="4">
                  <c:v>0.08495419554704689</c:v>
                </c:pt>
                <c:pt idx="5">
                  <c:v>0.10597784406047503</c:v>
                </c:pt>
                <c:pt idx="6">
                  <c:v>0.12686034163979193</c:v>
                </c:pt>
                <c:pt idx="7">
                  <c:v>0.14757553123258443</c:v>
                </c:pt>
                <c:pt idx="8">
                  <c:v>0.1680983335011415</c:v>
                </c:pt>
                <c:pt idx="9">
                  <c:v>0.18840488430052735</c:v>
                </c:pt>
                <c:pt idx="10">
                  <c:v>0.208472654847249</c:v>
                </c:pt>
                <c:pt idx="11">
                  <c:v>0.22828055349155082</c:v>
                </c:pt>
                <c:pt idx="12">
                  <c:v>0.24780900843955014</c:v>
                </c:pt>
                <c:pt idx="13">
                  <c:v>0.26704003119555797</c:v>
                </c:pt>
                <c:pt idx="14">
                  <c:v>0.28595726089646295</c:v>
                </c:pt>
                <c:pt idx="15">
                  <c:v>0.304545990077493</c:v>
                </c:pt>
                <c:pt idx="16">
                  <c:v>0.3227931727329113</c:v>
                </c:pt>
                <c:pt idx="17">
                  <c:v>0.3406874158097743</c:v>
                </c:pt>
                <c:pt idx="18">
                  <c:v>0.35821895549392074</c:v>
                </c:pt>
                <c:pt idx="19">
                  <c:v>0.3753796198135226</c:v>
                </c:pt>
                <c:pt idx="20">
                  <c:v>0.39216277919771836</c:v>
                </c:pt>
                <c:pt idx="21">
                  <c:v>0.4085632866888885</c:v>
                </c:pt>
                <c:pt idx="22">
                  <c:v>0.42457740952136835</c:v>
                </c:pt>
                <c:pt idx="23">
                  <c:v>0.4402027537523002</c:v>
                </c:pt>
                <c:pt idx="24">
                  <c:v>0.45543818356807386</c:v>
                </c:pt>
                <c:pt idx="25">
                  <c:v>0.4702837367989179</c:v>
                </c:pt>
                <c:pt idx="26">
                  <c:v>0.4847405380611988</c:v>
                </c:pt>
                <c:pt idx="27">
                  <c:v>0.49881071081814404</c:v>
                </c:pt>
                <c:pt idx="28">
                  <c:v>0.5124972895108107</c:v>
                </c:pt>
                <c:pt idx="29">
                  <c:v>0.5258041327673695</c:v>
                </c:pt>
                <c:pt idx="30">
                  <c:v>0.5387358385546281</c:v>
                </c:pt>
                <c:pt idx="31">
                  <c:v>0.5512976619949173</c:v>
                </c:pt>
                <c:pt idx="32">
                  <c:v>0.5634954364369623</c:v>
                </c:pt>
                <c:pt idx="33">
                  <c:v>0.5753354982434545</c:v>
                </c:pt>
                <c:pt idx="34">
                  <c:v>0.5868246156422844</c:v>
                </c:pt>
                <c:pt idx="35">
                  <c:v>0.5979699218838561</c:v>
                </c:pt>
                <c:pt idx="36">
                  <c:v>0.608778852854045</c:v>
                </c:pt>
                <c:pt idx="37">
                  <c:v>0.6192590892113021</c:v>
                </c:pt>
                <c:pt idx="38">
                  <c:v>0.629418503046887</c:v>
                </c:pt>
                <c:pt idx="39">
                  <c:v>0.6392651090087164</c:v>
                </c:pt>
                <c:pt idx="40">
                  <c:v>0.648807019781149</c:v>
                </c:pt>
                <c:pt idx="41">
                  <c:v>0.6580524057743562</c:v>
                </c:pt>
                <c:pt idx="42">
                  <c:v>0.6670094588468467</c:v>
                </c:pt>
                <c:pt idx="43">
                  <c:v>0.675686359862273</c:v>
                </c:pt>
                <c:pt idx="44">
                  <c:v>0.6840912498659175</c:v>
                </c:pt>
                <c:pt idx="45">
                  <c:v>0.6922322046563208</c:v>
                </c:pt>
                <c:pt idx="46">
                  <c:v>0.7001172125224949</c:v>
                </c:pt>
                <c:pt idx="47">
                  <c:v>0.7077541549162857</c:v>
                </c:pt>
                <c:pt idx="48">
                  <c:v>0.7151507898319379</c:v>
                </c:pt>
                <c:pt idx="49">
                  <c:v>0.7223147376701414</c:v>
                </c:pt>
                <c:pt idx="50">
                  <c:v>0.729253469371199</c:v>
                </c:pt>
              </c:numCache>
            </c:numRef>
          </c:yVal>
          <c:smooth val="1"/>
        </c:ser>
        <c:ser>
          <c:idx val="2"/>
          <c:order val="1"/>
          <c:tx>
            <c:v>Gamma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Liczby!$A$6:$A$56</c:f>
              <c:numCache>
                <c:ptCount val="5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  <c:pt idx="41">
                  <c:v>820</c:v>
                </c:pt>
                <c:pt idx="42">
                  <c:v>840</c:v>
                </c:pt>
                <c:pt idx="43">
                  <c:v>860</c:v>
                </c:pt>
                <c:pt idx="44">
                  <c:v>880</c:v>
                </c:pt>
                <c:pt idx="45">
                  <c:v>900</c:v>
                </c:pt>
                <c:pt idx="46">
                  <c:v>920</c:v>
                </c:pt>
                <c:pt idx="47">
                  <c:v>940</c:v>
                </c:pt>
                <c:pt idx="48">
                  <c:v>960</c:v>
                </c:pt>
                <c:pt idx="49">
                  <c:v>980</c:v>
                </c:pt>
                <c:pt idx="50">
                  <c:v>1000</c:v>
                </c:pt>
              </c:numCache>
            </c:numRef>
          </c:xVal>
          <c:yVal>
            <c:numRef>
              <c:f>Liczby!$E$6:$E$56</c:f>
              <c:numCache>
                <c:ptCount val="51"/>
                <c:pt idx="0">
                  <c:v>1</c:v>
                </c:pt>
                <c:pt idx="1">
                  <c:v>1.0002271517698793</c:v>
                </c:pt>
                <c:pt idx="2">
                  <c:v>1.0009082977729484</c:v>
                </c:pt>
                <c:pt idx="3">
                  <c:v>1.0020425121915577</c:v>
                </c:pt>
                <c:pt idx="4">
                  <c:v>1.0036282589699064</c:v>
                </c:pt>
                <c:pt idx="5">
                  <c:v>1.0056634021590594</c:v>
                </c:pt>
                <c:pt idx="6">
                  <c:v>1.008145220172507</c:v>
                </c:pt>
                <c:pt idx="7">
                  <c:v>1.0110704237324828</c:v>
                </c:pt>
                <c:pt idx="8">
                  <c:v>1.014435177235028</c:v>
                </c:pt>
                <c:pt idx="9">
                  <c:v>1.0182351232168891</c:v>
                </c:pt>
                <c:pt idx="10">
                  <c:v>1.0224654095706784</c:v>
                </c:pt>
                <c:pt idx="11">
                  <c:v>1.0271207191269816</c:v>
                </c:pt>
                <c:pt idx="12">
                  <c:v>1.0321953012035516</c:v>
                </c:pt>
                <c:pt idx="13">
                  <c:v>1.0376830047123373</c:v>
                </c:pt>
                <c:pt idx="14">
                  <c:v>1.043577312414528</c:v>
                </c:pt>
                <c:pt idx="15">
                  <c:v>1.0498713759214529</c:v>
                </c:pt>
                <c:pt idx="16">
                  <c:v>1.0565580510542003</c:v>
                </c:pt>
                <c:pt idx="17">
                  <c:v>1.0636299331962538</c:v>
                </c:pt>
                <c:pt idx="18">
                  <c:v>1.071079392300148</c:v>
                </c:pt>
                <c:pt idx="19">
                  <c:v>1.0788986072400004</c:v>
                </c:pt>
                <c:pt idx="20">
                  <c:v>1.087079599235558</c:v>
                </c:pt>
                <c:pt idx="21">
                  <c:v>1.0956142641090618</c:v>
                </c:pt>
                <c:pt idx="22">
                  <c:v>1.1044944031726511</c:v>
                </c:pt>
                <c:pt idx="23">
                  <c:v>1.1137117525803308</c:v>
                </c:pt>
                <c:pt idx="24">
                  <c:v>1.1232580110138382</c:v>
                </c:pt>
                <c:pt idx="25">
                  <c:v>1.1331248656054398</c:v>
                </c:pt>
                <c:pt idx="26">
                  <c:v>1.1433040160321746</c:v>
                </c:pt>
                <c:pt idx="27">
                  <c:v>1.1537871967449729</c:v>
                </c:pt>
                <c:pt idx="28">
                  <c:v>1.164566197322126</c:v>
                </c:pt>
                <c:pt idx="29">
                  <c:v>1.1756328809596057</c:v>
                </c:pt>
                <c:pt idx="30">
                  <c:v>1.1869792011306761</c:v>
                </c:pt>
                <c:pt idx="31">
                  <c:v>1.1985972164641567</c:v>
                </c:pt>
                <c:pt idx="32">
                  <c:v>1.210479103904649</c:v>
                </c:pt>
                <c:pt idx="33">
                  <c:v>1.222617170229238</c:v>
                </c:pt>
                <c:pt idx="34">
                  <c:v>1.2350038620037869</c:v>
                </c:pt>
                <c:pt idx="35">
                  <c:v>1.2476317740681975</c:v>
                </c:pt>
                <c:pt idx="36">
                  <c:v>1.260493656644181</c:v>
                </c:pt>
                <c:pt idx="37">
                  <c:v>1.2735824211613667</c:v>
                </c:pt>
                <c:pt idx="38">
                  <c:v>1.2868911448982974</c:v>
                </c:pt>
                <c:pt idx="39">
                  <c:v>1.3004130745341735</c:v>
                </c:pt>
                <c:pt idx="40">
                  <c:v>1.314141628705432</c:v>
                </c:pt>
                <c:pt idx="41">
                  <c:v>1.3280703996584966</c:v>
                </c:pt>
                <c:pt idx="42">
                  <c:v>1.3421931540866106</c:v>
                </c:pt>
                <c:pt idx="43">
                  <c:v>1.3565038332346202</c:v>
                </c:pt>
                <c:pt idx="44">
                  <c:v>1.370996552351188</c:v>
                </c:pt>
                <c:pt idx="45">
                  <c:v>1.3856655995631995</c:v>
                </c:pt>
                <c:pt idx="46">
                  <c:v>1.400505434242298</c:v>
                </c:pt>
                <c:pt idx="47">
                  <c:v>1.4155106849285686</c:v>
                </c:pt>
                <c:pt idx="48">
                  <c:v>1.4306761468714904</c:v>
                </c:pt>
                <c:pt idx="49">
                  <c:v>1.4459967792434854</c:v>
                </c:pt>
                <c:pt idx="50">
                  <c:v>1.4614677020767113</c:v>
                </c:pt>
              </c:numCache>
            </c:numRef>
          </c:yVal>
          <c:smooth val="1"/>
        </c:ser>
        <c:ser>
          <c:idx val="3"/>
          <c:order val="2"/>
          <c:tx>
            <c:v>Rapidity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Liczby!$A$6:$A$56</c:f>
              <c:numCache>
                <c:ptCount val="5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  <c:pt idx="41">
                  <c:v>820</c:v>
                </c:pt>
                <c:pt idx="42">
                  <c:v>840</c:v>
                </c:pt>
                <c:pt idx="43">
                  <c:v>860</c:v>
                </c:pt>
                <c:pt idx="44">
                  <c:v>880</c:v>
                </c:pt>
                <c:pt idx="45">
                  <c:v>900</c:v>
                </c:pt>
                <c:pt idx="46">
                  <c:v>920</c:v>
                </c:pt>
                <c:pt idx="47">
                  <c:v>940</c:v>
                </c:pt>
                <c:pt idx="48">
                  <c:v>960</c:v>
                </c:pt>
                <c:pt idx="49">
                  <c:v>980</c:v>
                </c:pt>
                <c:pt idx="50">
                  <c:v>1000</c:v>
                </c:pt>
              </c:numCache>
            </c:numRef>
          </c:xVal>
          <c:yVal>
            <c:numRef>
              <c:f>Liczby!$F$6:$F$56</c:f>
              <c:numCache>
                <c:ptCount val="51"/>
                <c:pt idx="0">
                  <c:v>0</c:v>
                </c:pt>
                <c:pt idx="1">
                  <c:v>0.021313994029549945</c:v>
                </c:pt>
                <c:pt idx="2">
                  <c:v>0.042618313092750854</c:v>
                </c:pt>
                <c:pt idx="3">
                  <c:v>0.06390332167706587</c:v>
                </c:pt>
                <c:pt idx="4">
                  <c:v>0.08515946273187742</c:v>
                </c:pt>
                <c:pt idx="5">
                  <c:v>0.10637729579501867</c:v>
                </c:pt>
                <c:pt idx="6">
                  <c:v>0.12754753382116563</c:v>
                </c:pt>
                <c:pt idx="7">
                  <c:v>0.14866107832361894</c:v>
                </c:pt>
                <c:pt idx="8">
                  <c:v>0.16970905247688298</c:v>
                </c:pt>
                <c:pt idx="9">
                  <c:v>0.19068283186986237</c:v>
                </c:pt>
                <c:pt idx="10">
                  <c:v>0.21157407264703695</c:v>
                </c:pt>
                <c:pt idx="11">
                  <c:v>0.2323747368260681</c:v>
                </c:pt>
                <c:pt idx="12">
                  <c:v>0.2530771146333818</c:v>
                </c:pt>
                <c:pt idx="13">
                  <c:v>0.2736738437527754</c:v>
                </c:pt>
                <c:pt idx="14">
                  <c:v>0.2941579254345688</c:v>
                </c:pt>
                <c:pt idx="15">
                  <c:v>0.31452273746291515</c:v>
                </c:pt>
                <c:pt idx="16">
                  <c:v>0.3347620440254975</c:v>
                </c:pt>
                <c:pt idx="17">
                  <c:v>0.35487000257201445</c:v>
                </c:pt>
                <c:pt idx="18">
                  <c:v>0.37484116778493615</c:v>
                </c:pt>
                <c:pt idx="19">
                  <c:v>0.3946704928175205</c:v>
                </c:pt>
                <c:pt idx="20">
                  <c:v>0.41435332797979246</c:v>
                </c:pt>
                <c:pt idx="21">
                  <c:v>0.43388541707307765</c:v>
                </c:pt>
                <c:pt idx="22">
                  <c:v>0.4532628915878969</c:v>
                </c:pt>
                <c:pt idx="23">
                  <c:v>0.4724822629888877</c:v>
                </c:pt>
                <c:pt idx="24">
                  <c:v>0.4915404133143253</c:v>
                </c:pt>
                <c:pt idx="25">
                  <c:v>0.5104345843173128</c:v>
                </c:pt>
                <c:pt idx="26">
                  <c:v>0.5291623653713248</c:v>
                </c:pt>
                <c:pt idx="27">
                  <c:v>0.5477216803551636</c:v>
                </c:pt>
                <c:pt idx="28">
                  <c:v>0.5661107737220766</c:v>
                </c:pt>
                <c:pt idx="29">
                  <c:v>0.5843281959454036</c:v>
                </c:pt>
                <c:pt idx="30">
                  <c:v>0.6023727885192022</c:v>
                </c:pt>
                <c:pt idx="31">
                  <c:v>0.6202436686773504</c:v>
                </c:pt>
                <c:pt idx="32">
                  <c:v>0.6379402139790941</c:v>
                </c:pt>
                <c:pt idx="33">
                  <c:v>0.6554620468932898</c:v>
                </c:pt>
                <c:pt idx="34">
                  <c:v>0.6728090194980101</c:v>
                </c:pt>
                <c:pt idx="35">
                  <c:v>0.689981198397028</c:v>
                </c:pt>
                <c:pt idx="36">
                  <c:v>0.706978849940163</c:v>
                </c:pt>
                <c:pt idx="37">
                  <c:v>0.7238024258207539</c:v>
                </c:pt>
                <c:pt idx="38">
                  <c:v>0.7404525491107177</c:v>
                </c:pt>
                <c:pt idx="39">
                  <c:v>0.7569300007818482</c:v>
                </c:pt>
                <c:pt idx="40">
                  <c:v>0.7732357067512504</c:v>
                </c:pt>
                <c:pt idx="41">
                  <c:v>0.7893707254790951</c:v>
                </c:pt>
                <c:pt idx="42">
                  <c:v>0.8053362361382196</c:v>
                </c:pt>
                <c:pt idx="43">
                  <c:v>0.8211335273674545</c:v>
                </c:pt>
                <c:pt idx="44">
                  <c:v>0.8367639866138732</c:v>
                </c:pt>
                <c:pt idx="45">
                  <c:v>0.852229090063403</c:v>
                </c:pt>
                <c:pt idx="46">
                  <c:v>0.8675303931543212</c:v>
                </c:pt>
                <c:pt idx="47">
                  <c:v>0.8826695216640268</c:v>
                </c:pt>
                <c:pt idx="48">
                  <c:v>0.8976481633560696</c:v>
                </c:pt>
                <c:pt idx="49">
                  <c:v>0.9124680601716388</c:v>
                </c:pt>
                <c:pt idx="50">
                  <c:v>0.9271310009475244</c:v>
                </c:pt>
              </c:numCache>
            </c:numRef>
          </c:yVal>
          <c:smooth val="1"/>
        </c:ser>
        <c:axId val="10685341"/>
        <c:axId val="29059206"/>
      </c:scatterChart>
      <c:valAx>
        <c:axId val="10685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P, MeV/c</a:t>
                </a:r>
              </a:p>
            </c:rich>
          </c:tx>
          <c:layout>
            <c:manualLayout>
              <c:xMode val="factor"/>
              <c:yMode val="factor"/>
              <c:x val="0.00925"/>
              <c:y val="0.1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9059206"/>
        <c:crosses val="autoZero"/>
        <c:crossBetween val="midCat"/>
        <c:dispUnits/>
      </c:valAx>
      <c:valAx>
        <c:axId val="29059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Wartość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7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0685341"/>
        <c:crosses val="autoZero"/>
        <c:crossBetween val="midCat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425"/>
          <c:y val="0.06575"/>
          <c:w val="0.707"/>
          <c:h val="0.08225"/>
        </c:manualLayout>
      </c:layout>
      <c:overlay val="0"/>
      <c:spPr>
        <a:solidFill>
          <a:srgbClr val="E7F4D8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2F2F2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5"/>
          <c:y val="-0.02325"/>
          <c:w val="0.92025"/>
          <c:h val="0.97925"/>
        </c:manualLayout>
      </c:layout>
      <c:scatterChart>
        <c:scatterStyle val="smoothMarker"/>
        <c:varyColors val="0"/>
        <c:ser>
          <c:idx val="0"/>
          <c:order val="0"/>
          <c:tx>
            <c:v>Czynnik Lorentza - Gamma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Liczby!$D$6:$D$56</c:f>
              <c:numCache>
                <c:ptCount val="51"/>
                <c:pt idx="0">
                  <c:v>0</c:v>
                </c:pt>
                <c:pt idx="1">
                  <c:v>0.02131076706381188</c:v>
                </c:pt>
                <c:pt idx="2">
                  <c:v>0.042592528985314224</c:v>
                </c:pt>
                <c:pt idx="3">
                  <c:v>0.06381647759329716</c:v>
                </c:pt>
                <c:pt idx="4">
                  <c:v>0.08495419554704689</c:v>
                </c:pt>
                <c:pt idx="5">
                  <c:v>0.10597784406047503</c:v>
                </c:pt>
                <c:pt idx="6">
                  <c:v>0.12686034163979193</c:v>
                </c:pt>
                <c:pt idx="7">
                  <c:v>0.14757553123258443</c:v>
                </c:pt>
                <c:pt idx="8">
                  <c:v>0.1680983335011415</c:v>
                </c:pt>
                <c:pt idx="9">
                  <c:v>0.18840488430052735</c:v>
                </c:pt>
                <c:pt idx="10">
                  <c:v>0.208472654847249</c:v>
                </c:pt>
                <c:pt idx="11">
                  <c:v>0.22828055349155082</c:v>
                </c:pt>
                <c:pt idx="12">
                  <c:v>0.24780900843955014</c:v>
                </c:pt>
                <c:pt idx="13">
                  <c:v>0.26704003119555797</c:v>
                </c:pt>
                <c:pt idx="14">
                  <c:v>0.28595726089646295</c:v>
                </c:pt>
                <c:pt idx="15">
                  <c:v>0.304545990077493</c:v>
                </c:pt>
                <c:pt idx="16">
                  <c:v>0.3227931727329113</c:v>
                </c:pt>
                <c:pt idx="17">
                  <c:v>0.3406874158097743</c:v>
                </c:pt>
                <c:pt idx="18">
                  <c:v>0.35821895549392074</c:v>
                </c:pt>
                <c:pt idx="19">
                  <c:v>0.3753796198135226</c:v>
                </c:pt>
                <c:pt idx="20">
                  <c:v>0.39216277919771836</c:v>
                </c:pt>
                <c:pt idx="21">
                  <c:v>0.4085632866888885</c:v>
                </c:pt>
                <c:pt idx="22">
                  <c:v>0.42457740952136835</c:v>
                </c:pt>
                <c:pt idx="23">
                  <c:v>0.4402027537523002</c:v>
                </c:pt>
                <c:pt idx="24">
                  <c:v>0.45543818356807386</c:v>
                </c:pt>
                <c:pt idx="25">
                  <c:v>0.4702837367989179</c:v>
                </c:pt>
                <c:pt idx="26">
                  <c:v>0.4847405380611988</c:v>
                </c:pt>
                <c:pt idx="27">
                  <c:v>0.49881071081814404</c:v>
                </c:pt>
                <c:pt idx="28">
                  <c:v>0.5124972895108107</c:v>
                </c:pt>
                <c:pt idx="29">
                  <c:v>0.5258041327673695</c:v>
                </c:pt>
                <c:pt idx="30">
                  <c:v>0.5387358385546281</c:v>
                </c:pt>
                <c:pt idx="31">
                  <c:v>0.5512976619949173</c:v>
                </c:pt>
                <c:pt idx="32">
                  <c:v>0.5634954364369623</c:v>
                </c:pt>
                <c:pt idx="33">
                  <c:v>0.5753354982434545</c:v>
                </c:pt>
                <c:pt idx="34">
                  <c:v>0.5868246156422844</c:v>
                </c:pt>
                <c:pt idx="35">
                  <c:v>0.5979699218838561</c:v>
                </c:pt>
                <c:pt idx="36">
                  <c:v>0.608778852854045</c:v>
                </c:pt>
                <c:pt idx="37">
                  <c:v>0.6192590892113021</c:v>
                </c:pt>
                <c:pt idx="38">
                  <c:v>0.629418503046887</c:v>
                </c:pt>
                <c:pt idx="39">
                  <c:v>0.6392651090087164</c:v>
                </c:pt>
                <c:pt idx="40">
                  <c:v>0.648807019781149</c:v>
                </c:pt>
                <c:pt idx="41">
                  <c:v>0.6580524057743562</c:v>
                </c:pt>
                <c:pt idx="42">
                  <c:v>0.6670094588468467</c:v>
                </c:pt>
                <c:pt idx="43">
                  <c:v>0.675686359862273</c:v>
                </c:pt>
                <c:pt idx="44">
                  <c:v>0.6840912498659175</c:v>
                </c:pt>
                <c:pt idx="45">
                  <c:v>0.6922322046563208</c:v>
                </c:pt>
                <c:pt idx="46">
                  <c:v>0.7001172125224949</c:v>
                </c:pt>
                <c:pt idx="47">
                  <c:v>0.7077541549162857</c:v>
                </c:pt>
                <c:pt idx="48">
                  <c:v>0.7151507898319379</c:v>
                </c:pt>
                <c:pt idx="49">
                  <c:v>0.7223147376701414</c:v>
                </c:pt>
                <c:pt idx="50">
                  <c:v>0.729253469371199</c:v>
                </c:pt>
              </c:numCache>
            </c:numRef>
          </c:xVal>
          <c:yVal>
            <c:numRef>
              <c:f>Liczby!$E$6:$E$56</c:f>
              <c:numCache>
                <c:ptCount val="51"/>
                <c:pt idx="0">
                  <c:v>1</c:v>
                </c:pt>
                <c:pt idx="1">
                  <c:v>1.0002271517698793</c:v>
                </c:pt>
                <c:pt idx="2">
                  <c:v>1.0009082977729484</c:v>
                </c:pt>
                <c:pt idx="3">
                  <c:v>1.0020425121915577</c:v>
                </c:pt>
                <c:pt idx="4">
                  <c:v>1.0036282589699064</c:v>
                </c:pt>
                <c:pt idx="5">
                  <c:v>1.0056634021590594</c:v>
                </c:pt>
                <c:pt idx="6">
                  <c:v>1.008145220172507</c:v>
                </c:pt>
                <c:pt idx="7">
                  <c:v>1.0110704237324828</c:v>
                </c:pt>
                <c:pt idx="8">
                  <c:v>1.014435177235028</c:v>
                </c:pt>
                <c:pt idx="9">
                  <c:v>1.0182351232168891</c:v>
                </c:pt>
                <c:pt idx="10">
                  <c:v>1.0224654095706784</c:v>
                </c:pt>
                <c:pt idx="11">
                  <c:v>1.0271207191269816</c:v>
                </c:pt>
                <c:pt idx="12">
                  <c:v>1.0321953012035516</c:v>
                </c:pt>
                <c:pt idx="13">
                  <c:v>1.0376830047123373</c:v>
                </c:pt>
                <c:pt idx="14">
                  <c:v>1.043577312414528</c:v>
                </c:pt>
                <c:pt idx="15">
                  <c:v>1.0498713759214529</c:v>
                </c:pt>
                <c:pt idx="16">
                  <c:v>1.0565580510542003</c:v>
                </c:pt>
                <c:pt idx="17">
                  <c:v>1.0636299331962538</c:v>
                </c:pt>
                <c:pt idx="18">
                  <c:v>1.071079392300148</c:v>
                </c:pt>
                <c:pt idx="19">
                  <c:v>1.0788986072400004</c:v>
                </c:pt>
                <c:pt idx="20">
                  <c:v>1.087079599235558</c:v>
                </c:pt>
                <c:pt idx="21">
                  <c:v>1.0956142641090618</c:v>
                </c:pt>
                <c:pt idx="22">
                  <c:v>1.1044944031726511</c:v>
                </c:pt>
                <c:pt idx="23">
                  <c:v>1.1137117525803308</c:v>
                </c:pt>
                <c:pt idx="24">
                  <c:v>1.1232580110138382</c:v>
                </c:pt>
                <c:pt idx="25">
                  <c:v>1.1331248656054398</c:v>
                </c:pt>
                <c:pt idx="26">
                  <c:v>1.1433040160321746</c:v>
                </c:pt>
                <c:pt idx="27">
                  <c:v>1.1537871967449729</c:v>
                </c:pt>
                <c:pt idx="28">
                  <c:v>1.164566197322126</c:v>
                </c:pt>
                <c:pt idx="29">
                  <c:v>1.1756328809596057</c:v>
                </c:pt>
                <c:pt idx="30">
                  <c:v>1.1869792011306761</c:v>
                </c:pt>
                <c:pt idx="31">
                  <c:v>1.1985972164641567</c:v>
                </c:pt>
                <c:pt idx="32">
                  <c:v>1.210479103904649</c:v>
                </c:pt>
                <c:pt idx="33">
                  <c:v>1.222617170229238</c:v>
                </c:pt>
                <c:pt idx="34">
                  <c:v>1.2350038620037869</c:v>
                </c:pt>
                <c:pt idx="35">
                  <c:v>1.2476317740681975</c:v>
                </c:pt>
                <c:pt idx="36">
                  <c:v>1.260493656644181</c:v>
                </c:pt>
                <c:pt idx="37">
                  <c:v>1.2735824211613667</c:v>
                </c:pt>
                <c:pt idx="38">
                  <c:v>1.2868911448982974</c:v>
                </c:pt>
                <c:pt idx="39">
                  <c:v>1.3004130745341735</c:v>
                </c:pt>
                <c:pt idx="40">
                  <c:v>1.314141628705432</c:v>
                </c:pt>
                <c:pt idx="41">
                  <c:v>1.3280703996584966</c:v>
                </c:pt>
                <c:pt idx="42">
                  <c:v>1.3421931540866106</c:v>
                </c:pt>
                <c:pt idx="43">
                  <c:v>1.3565038332346202</c:v>
                </c:pt>
                <c:pt idx="44">
                  <c:v>1.370996552351188</c:v>
                </c:pt>
                <c:pt idx="45">
                  <c:v>1.3856655995631995</c:v>
                </c:pt>
                <c:pt idx="46">
                  <c:v>1.400505434242298</c:v>
                </c:pt>
                <c:pt idx="47">
                  <c:v>1.4155106849285686</c:v>
                </c:pt>
                <c:pt idx="48">
                  <c:v>1.4306761468714904</c:v>
                </c:pt>
                <c:pt idx="49">
                  <c:v>1.4459967792434854</c:v>
                </c:pt>
                <c:pt idx="50">
                  <c:v>1.4614677020767113</c:v>
                </c:pt>
              </c:numCache>
            </c:numRef>
          </c:yVal>
          <c:smooth val="1"/>
        </c:ser>
        <c:axId val="60206263"/>
        <c:axId val="4985456"/>
      </c:scatterChart>
      <c:valAx>
        <c:axId val="60206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beta = v/c</a:t>
                </a:r>
              </a:p>
            </c:rich>
          </c:tx>
          <c:layout>
            <c:manualLayout>
              <c:xMode val="factor"/>
              <c:yMode val="factor"/>
              <c:x val="0.0085"/>
              <c:y val="0.09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985456"/>
        <c:crosses val="autoZero"/>
        <c:crossBetween val="midCat"/>
        <c:dispUnits/>
      </c:valAx>
      <c:valAx>
        <c:axId val="4985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Gamma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7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0206263"/>
        <c:crosses val="autoZero"/>
        <c:crossBetween val="midCat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475"/>
          <c:y val="0.06325"/>
          <c:w val="0.58325"/>
          <c:h val="0.08"/>
        </c:manualLayout>
      </c:layout>
      <c:overlay val="0"/>
      <c:spPr>
        <a:solidFill>
          <a:srgbClr val="E7F4D8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2F2F2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-0.01025"/>
          <c:w val="0.95225"/>
          <c:h val="0.976"/>
        </c:manualLayout>
      </c:layout>
      <c:scatterChart>
        <c:scatterStyle val="smoothMarker"/>
        <c:varyColors val="0"/>
        <c:ser>
          <c:idx val="0"/>
          <c:order val="0"/>
          <c:tx>
            <c:v>E-tot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Liczby!$A$6:$A$56</c:f>
              <c:numCache>
                <c:ptCount val="5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  <c:pt idx="41">
                  <c:v>820</c:v>
                </c:pt>
                <c:pt idx="42">
                  <c:v>840</c:v>
                </c:pt>
                <c:pt idx="43">
                  <c:v>860</c:v>
                </c:pt>
                <c:pt idx="44">
                  <c:v>880</c:v>
                </c:pt>
                <c:pt idx="45">
                  <c:v>900</c:v>
                </c:pt>
                <c:pt idx="46">
                  <c:v>920</c:v>
                </c:pt>
                <c:pt idx="47">
                  <c:v>940</c:v>
                </c:pt>
                <c:pt idx="48">
                  <c:v>960</c:v>
                </c:pt>
                <c:pt idx="49">
                  <c:v>980</c:v>
                </c:pt>
                <c:pt idx="50">
                  <c:v>1000</c:v>
                </c:pt>
              </c:numCache>
            </c:numRef>
          </c:xVal>
          <c:yVal>
            <c:numRef>
              <c:f>Liczby!$B$6:$B$56</c:f>
              <c:numCache>
                <c:ptCount val="51"/>
                <c:pt idx="0">
                  <c:v>938.2796</c:v>
                </c:pt>
                <c:pt idx="1">
                  <c:v>938.4927318717816</c:v>
                </c:pt>
                <c:pt idx="2">
                  <c:v>939.131837271083</c:v>
                </c:pt>
                <c:pt idx="3">
                  <c:v>940.1960475220899</c:v>
                </c:pt>
                <c:pt idx="4">
                  <c:v>941.6839213749802</c:v>
                </c:pt>
                <c:pt idx="5">
                  <c:v>943.5934547124413</c:v>
                </c:pt>
                <c:pt idx="6">
                  <c:v>945.9220939253718</c:v>
                </c:pt>
                <c:pt idx="7">
                  <c:v>948.6667527515444</c:v>
                </c:pt>
                <c:pt idx="8">
                  <c:v>951.8238323220111</c:v>
                </c:pt>
                <c:pt idx="9">
                  <c:v>955.3892441178934</c:v>
                </c:pt>
                <c:pt idx="10">
                  <c:v>959.3584355058123</c:v>
                </c:pt>
                <c:pt idx="11">
                  <c:v>963.7264174941765</c:v>
                </c:pt>
                <c:pt idx="12">
                  <c:v>968.487794335148</c:v>
                </c:pt>
                <c:pt idx="13">
                  <c:v>973.63679458829</c:v>
                </c:pt>
                <c:pt idx="14">
                  <c:v>979.1673032613783</c:v>
                </c:pt>
                <c:pt idx="15">
                  <c:v>985.0728946510303</c:v>
                </c:pt>
                <c:pt idx="16">
                  <c:v>991.3468655199147</c:v>
                </c:pt>
                <c:pt idx="17">
                  <c:v>997.9822682674076</c:v>
                </c:pt>
                <c:pt idx="18">
                  <c:v>1004.971943775626</c:v>
                </c:pt>
                <c:pt idx="19">
                  <c:v>1012.3085536417046</c:v>
                </c:pt>
                <c:pt idx="20">
                  <c:v>1019.9846115388996</c:v>
                </c:pt>
                <c:pt idx="21">
                  <c:v>1027.9925134825446</c:v>
                </c:pt>
                <c:pt idx="22">
                  <c:v>1036.324566811074</c:v>
                </c:pt>
                <c:pt idx="23">
                  <c:v>1044.9730177263716</c:v>
                </c:pt>
                <c:pt idx="24">
                  <c:v>1053.9300772708596</c:v>
                </c:pt>
                <c:pt idx="25">
                  <c:v>1063.1879456503257</c:v>
                </c:pt>
                <c:pt idx="26">
                  <c:v>1072.7388348410623</c:v>
                </c:pt>
                <c:pt idx="27">
                  <c:v>1082.5749894469943</c:v>
                </c:pt>
                <c:pt idx="28">
                  <c:v>1092.6887057969254</c:v>
                </c:pt>
                <c:pt idx="29">
                  <c:v>1103.0723492936263</c:v>
                </c:pt>
                <c:pt idx="30">
                  <c:v>1113.7183700452103</c:v>
                </c:pt>
                <c:pt idx="31">
                  <c:v>1124.6193168251023</c:v>
                </c:pt>
                <c:pt idx="32">
                  <c:v>1135.7678494200125</c:v>
                </c:pt>
                <c:pt idx="33">
                  <c:v>1147.1567494358214</c:v>
                </c:pt>
                <c:pt idx="34">
                  <c:v>1158.7789296393682</c:v>
                </c:pt>
                <c:pt idx="35">
                  <c:v>1170.6274419199988</c:v>
                </c:pt>
                <c:pt idx="36">
                  <c:v>1182.6954839586392</c:v>
                </c:pt>
                <c:pt idx="37">
                  <c:v>1194.9764046943185</c:v>
                </c:pt>
                <c:pt idx="38">
                  <c:v>1207.4637086787163</c:v>
                </c:pt>
                <c:pt idx="39">
                  <c:v>1220.1510594086947</c:v>
                </c:pt>
                <c:pt idx="40">
                  <c:v>1233.0322817250812</c:v>
                </c:pt>
                <c:pt idx="41">
                  <c:v>1246.1013633634143</c:v>
                </c:pt>
                <c:pt idx="42">
                  <c:v>1259.3524557391231</c:v>
                </c:pt>
                <c:pt idx="43">
                  <c:v>1272.779874045846</c:v>
                </c:pt>
                <c:pt idx="44">
                  <c:v>1286.3780967414518</c:v>
                </c:pt>
                <c:pt idx="45">
                  <c:v>1300.1417644919188</c:v>
                </c:pt>
                <c:pt idx="46">
                  <c:v>1314.0656786386896</c:v>
                </c:pt>
                <c:pt idx="47">
                  <c:v>1328.1447992505034</c:v>
                </c:pt>
                <c:pt idx="48">
                  <c:v>1342.3742428161231</c:v>
                </c:pt>
                <c:pt idx="49">
                  <c:v>1356.749279629866</c:v>
                </c:pt>
                <c:pt idx="50">
                  <c:v>1371.265330917456</c:v>
                </c:pt>
              </c:numCache>
            </c:numRef>
          </c:yVal>
          <c:smooth val="1"/>
        </c:ser>
        <c:ser>
          <c:idx val="4"/>
          <c:order val="1"/>
          <c:tx>
            <c:v>E-kin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Liczby!$A$6:$A$56</c:f>
              <c:numCache>
                <c:ptCount val="5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  <c:pt idx="41">
                  <c:v>820</c:v>
                </c:pt>
                <c:pt idx="42">
                  <c:v>840</c:v>
                </c:pt>
                <c:pt idx="43">
                  <c:v>860</c:v>
                </c:pt>
                <c:pt idx="44">
                  <c:v>880</c:v>
                </c:pt>
                <c:pt idx="45">
                  <c:v>900</c:v>
                </c:pt>
                <c:pt idx="46">
                  <c:v>920</c:v>
                </c:pt>
                <c:pt idx="47">
                  <c:v>940</c:v>
                </c:pt>
                <c:pt idx="48">
                  <c:v>960</c:v>
                </c:pt>
                <c:pt idx="49">
                  <c:v>980</c:v>
                </c:pt>
                <c:pt idx="50">
                  <c:v>1000</c:v>
                </c:pt>
              </c:numCache>
            </c:numRef>
          </c:xVal>
          <c:yVal>
            <c:numRef>
              <c:f>Liczby!$C$6:$C$56</c:f>
              <c:numCache>
                <c:ptCount val="51"/>
                <c:pt idx="0">
                  <c:v>0</c:v>
                </c:pt>
                <c:pt idx="1">
                  <c:v>0.2131318717816839</c:v>
                </c:pt>
                <c:pt idx="2">
                  <c:v>0.8522372710830268</c:v>
                </c:pt>
                <c:pt idx="3">
                  <c:v>1.9164475220899249</c:v>
                </c:pt>
                <c:pt idx="4">
                  <c:v>3.4043213749802135</c:v>
                </c:pt>
                <c:pt idx="5">
                  <c:v>5.313854712441298</c:v>
                </c:pt>
                <c:pt idx="6">
                  <c:v>7.642493925371809</c:v>
                </c:pt>
                <c:pt idx="7">
                  <c:v>10.387152751544477</c:v>
                </c:pt>
                <c:pt idx="8">
                  <c:v>13.544232322011112</c:v>
                </c:pt>
                <c:pt idx="9">
                  <c:v>17.10964411789348</c:v>
                </c:pt>
                <c:pt idx="10">
                  <c:v>21.07883550581232</c:v>
                </c:pt>
                <c:pt idx="11">
                  <c:v>25.44681749417657</c:v>
                </c:pt>
                <c:pt idx="12">
                  <c:v>30.20819433514805</c:v>
                </c:pt>
                <c:pt idx="13">
                  <c:v>35.357194588289985</c:v>
                </c:pt>
                <c:pt idx="14">
                  <c:v>40.887703261378306</c:v>
                </c:pt>
                <c:pt idx="15">
                  <c:v>46.79329465103035</c:v>
                </c:pt>
                <c:pt idx="16">
                  <c:v>53.06726551991471</c:v>
                </c:pt>
                <c:pt idx="17">
                  <c:v>59.7026682674076</c:v>
                </c:pt>
                <c:pt idx="18">
                  <c:v>66.692343775626</c:v>
                </c:pt>
                <c:pt idx="19">
                  <c:v>74.02895364170467</c:v>
                </c:pt>
                <c:pt idx="20">
                  <c:v>81.70501153889961</c:v>
                </c:pt>
                <c:pt idx="21">
                  <c:v>89.71291348254465</c:v>
                </c:pt>
                <c:pt idx="22">
                  <c:v>98.044966811074</c:v>
                </c:pt>
                <c:pt idx="23">
                  <c:v>106.69341772637165</c:v>
                </c:pt>
                <c:pt idx="24">
                  <c:v>115.6504772708596</c:v>
                </c:pt>
                <c:pt idx="25">
                  <c:v>124.90834565032571</c:v>
                </c:pt>
                <c:pt idx="26">
                  <c:v>134.4592348410623</c:v>
                </c:pt>
                <c:pt idx="27">
                  <c:v>144.29538944699436</c:v>
                </c:pt>
                <c:pt idx="28">
                  <c:v>154.40910579692547</c:v>
                </c:pt>
                <c:pt idx="29">
                  <c:v>164.79274929362634</c:v>
                </c:pt>
                <c:pt idx="30">
                  <c:v>175.4387700452104</c:v>
                </c:pt>
                <c:pt idx="31">
                  <c:v>186.3397168251023</c:v>
                </c:pt>
                <c:pt idx="32">
                  <c:v>197.4882494200125</c:v>
                </c:pt>
                <c:pt idx="33">
                  <c:v>208.87714943582148</c:v>
                </c:pt>
                <c:pt idx="34">
                  <c:v>220.49932963936828</c:v>
                </c:pt>
                <c:pt idx="35">
                  <c:v>232.3478419199988</c:v>
                </c:pt>
                <c:pt idx="36">
                  <c:v>244.41588395863926</c:v>
                </c:pt>
                <c:pt idx="37">
                  <c:v>256.69680469431853</c:v>
                </c:pt>
                <c:pt idx="38">
                  <c:v>269.18410867871637</c:v>
                </c:pt>
                <c:pt idx="39">
                  <c:v>281.8714594086947</c:v>
                </c:pt>
                <c:pt idx="40">
                  <c:v>294.7526817250813</c:v>
                </c:pt>
                <c:pt idx="41">
                  <c:v>307.82176336341433</c:v>
                </c:pt>
                <c:pt idx="42">
                  <c:v>321.07285573912316</c:v>
                </c:pt>
                <c:pt idx="43">
                  <c:v>334.50027404584614</c:v>
                </c:pt>
                <c:pt idx="44">
                  <c:v>348.09849674145187</c:v>
                </c:pt>
                <c:pt idx="45">
                  <c:v>361.86216449191886</c:v>
                </c:pt>
                <c:pt idx="46">
                  <c:v>375.7860786386897</c:v>
                </c:pt>
                <c:pt idx="47">
                  <c:v>389.86519925050345</c:v>
                </c:pt>
                <c:pt idx="48">
                  <c:v>404.09464281612316</c:v>
                </c:pt>
                <c:pt idx="49">
                  <c:v>418.46967962986594</c:v>
                </c:pt>
                <c:pt idx="50">
                  <c:v>432.98573091745595</c:v>
                </c:pt>
              </c:numCache>
            </c:numRef>
          </c:yVal>
          <c:smooth val="1"/>
        </c:ser>
        <c:axId val="44869105"/>
        <c:axId val="1168762"/>
      </c:scatterChart>
      <c:valAx>
        <c:axId val="44869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P, MeV/c</a:t>
                </a:r>
              </a:p>
            </c:rich>
          </c:tx>
          <c:layout>
            <c:manualLayout>
              <c:xMode val="factor"/>
              <c:yMode val="factor"/>
              <c:x val="0.00925"/>
              <c:y val="0.1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168762"/>
        <c:crosses val="autoZero"/>
        <c:crossBetween val="midCat"/>
        <c:dispUnits/>
      </c:valAx>
      <c:valAx>
        <c:axId val="1168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E, MeV</a:t>
                </a:r>
              </a:p>
            </c:rich>
          </c:tx>
          <c:layout>
            <c:manualLayout>
              <c:xMode val="factor"/>
              <c:yMode val="factor"/>
              <c:x val="-0.001"/>
              <c:y val="0.08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4869105"/>
        <c:crosses val="autoZero"/>
        <c:crossBetween val="midCat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625"/>
          <c:y val="0.0795"/>
          <c:w val="0.39375"/>
          <c:h val="0.0795"/>
        </c:manualLayout>
      </c:layout>
      <c:overlay val="0"/>
      <c:spPr>
        <a:solidFill>
          <a:srgbClr val="E7F4D8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2F2F2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8</xdr:row>
      <xdr:rowOff>114300</xdr:rowOff>
    </xdr:from>
    <xdr:to>
      <xdr:col>12</xdr:col>
      <xdr:colOff>666750</xdr:colOff>
      <xdr:row>23</xdr:row>
      <xdr:rowOff>104775</xdr:rowOff>
    </xdr:to>
    <xdr:graphicFrame>
      <xdr:nvGraphicFramePr>
        <xdr:cNvPr id="1" name="Wykres 2"/>
        <xdr:cNvGraphicFramePr/>
      </xdr:nvGraphicFramePr>
      <xdr:xfrm>
        <a:off x="6038850" y="1562100"/>
        <a:ext cx="47244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21</xdr:row>
      <xdr:rowOff>38100</xdr:rowOff>
    </xdr:from>
    <xdr:to>
      <xdr:col>6</xdr:col>
      <xdr:colOff>819150</xdr:colOff>
      <xdr:row>37</xdr:row>
      <xdr:rowOff>38100</xdr:rowOff>
    </xdr:to>
    <xdr:graphicFrame>
      <xdr:nvGraphicFramePr>
        <xdr:cNvPr id="1" name="Wykres 3"/>
        <xdr:cNvGraphicFramePr/>
      </xdr:nvGraphicFramePr>
      <xdr:xfrm>
        <a:off x="161925" y="3943350"/>
        <a:ext cx="56864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</xdr:colOff>
      <xdr:row>4</xdr:row>
      <xdr:rowOff>9525</xdr:rowOff>
    </xdr:from>
    <xdr:to>
      <xdr:col>13</xdr:col>
      <xdr:colOff>409575</xdr:colOff>
      <xdr:row>20</xdr:row>
      <xdr:rowOff>95250</xdr:rowOff>
    </xdr:to>
    <xdr:graphicFrame>
      <xdr:nvGraphicFramePr>
        <xdr:cNvPr id="2" name="Wykres 2"/>
        <xdr:cNvGraphicFramePr/>
      </xdr:nvGraphicFramePr>
      <xdr:xfrm>
        <a:off x="5915025" y="838200"/>
        <a:ext cx="539115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20</xdr:row>
      <xdr:rowOff>180975</xdr:rowOff>
    </xdr:from>
    <xdr:to>
      <xdr:col>13</xdr:col>
      <xdr:colOff>638175</xdr:colOff>
      <xdr:row>37</xdr:row>
      <xdr:rowOff>47625</xdr:rowOff>
    </xdr:to>
    <xdr:graphicFrame>
      <xdr:nvGraphicFramePr>
        <xdr:cNvPr id="3" name="Wykres 4"/>
        <xdr:cNvGraphicFramePr/>
      </xdr:nvGraphicFramePr>
      <xdr:xfrm>
        <a:off x="5905500" y="3905250"/>
        <a:ext cx="5629275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4</xdr:row>
      <xdr:rowOff>19050</xdr:rowOff>
    </xdr:from>
    <xdr:to>
      <xdr:col>6</xdr:col>
      <xdr:colOff>781050</xdr:colOff>
      <xdr:row>20</xdr:row>
      <xdr:rowOff>85725</xdr:rowOff>
    </xdr:to>
    <xdr:graphicFrame>
      <xdr:nvGraphicFramePr>
        <xdr:cNvPr id="4" name="Wykres 5"/>
        <xdr:cNvGraphicFramePr/>
      </xdr:nvGraphicFramePr>
      <xdr:xfrm>
        <a:off x="171450" y="847725"/>
        <a:ext cx="5638800" cy="2962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6">
      <selection activeCell="D20" sqref="D20"/>
    </sheetView>
  </sheetViews>
  <sheetFormatPr defaultColWidth="8.796875" defaultRowHeight="14.25"/>
  <cols>
    <col min="2" max="2" width="11.8984375" style="0" customWidth="1"/>
    <col min="3" max="3" width="14" style="0" customWidth="1"/>
    <col min="4" max="4" width="9.69921875" style="0" customWidth="1"/>
    <col min="8" max="9" width="9.19921875" style="0" bestFit="1" customWidth="1"/>
    <col min="10" max="11" width="9" style="0" hidden="1" customWidth="1"/>
  </cols>
  <sheetData>
    <row r="1" spans="2:5" ht="18">
      <c r="B1" s="46" t="s">
        <v>240</v>
      </c>
      <c r="E1" s="1"/>
    </row>
    <row r="2" spans="2:9" ht="15">
      <c r="B2" s="5" t="s">
        <v>238</v>
      </c>
      <c r="I2" s="51"/>
    </row>
    <row r="3" ht="15">
      <c r="B3" s="52" t="s">
        <v>239</v>
      </c>
    </row>
    <row r="4" s="2" customFormat="1" ht="15">
      <c r="B4" s="64" t="s">
        <v>241</v>
      </c>
    </row>
    <row r="5" spans="1:9" s="3" customFormat="1" ht="14.25">
      <c r="A5"/>
      <c r="B5" s="52" t="s">
        <v>228</v>
      </c>
      <c r="C5" s="51"/>
      <c r="D5" s="51"/>
      <c r="E5" s="51"/>
      <c r="F5" s="51"/>
      <c r="G5" s="51"/>
      <c r="H5" s="51"/>
      <c r="I5"/>
    </row>
    <row r="6" spans="2:9" ht="14.25">
      <c r="B6" t="s">
        <v>242</v>
      </c>
      <c r="I6" s="2"/>
    </row>
    <row r="7" spans="1:9" ht="14.25">
      <c r="A7" s="2"/>
      <c r="B7" t="s">
        <v>229</v>
      </c>
      <c r="I7" s="3"/>
    </row>
    <row r="8" spans="1:2" ht="14.25">
      <c r="A8" s="2"/>
      <c r="B8" t="s">
        <v>236</v>
      </c>
    </row>
    <row r="9" ht="14.25">
      <c r="B9" t="s">
        <v>243</v>
      </c>
    </row>
    <row r="10" ht="14.25">
      <c r="B10" t="s">
        <v>237</v>
      </c>
    </row>
    <row r="11" spans="1:9" ht="15">
      <c r="A11" s="4"/>
      <c r="B11" s="11" t="s">
        <v>5</v>
      </c>
      <c r="C11" s="12"/>
      <c r="D11" s="12"/>
      <c r="E11" s="12"/>
      <c r="F11" s="12"/>
      <c r="G11" s="12"/>
      <c r="H11" s="13"/>
      <c r="I11" s="8"/>
    </row>
    <row r="12" spans="1:9" s="3" customFormat="1" ht="14.25">
      <c r="A12"/>
      <c r="B12" s="22" t="s">
        <v>6</v>
      </c>
      <c r="C12" s="22" t="s">
        <v>7</v>
      </c>
      <c r="D12" s="22" t="s">
        <v>8</v>
      </c>
      <c r="E12" s="22" t="s">
        <v>9</v>
      </c>
      <c r="F12" s="22" t="s">
        <v>10</v>
      </c>
      <c r="G12" s="22" t="s">
        <v>11</v>
      </c>
      <c r="H12" s="22" t="s">
        <v>12</v>
      </c>
      <c r="I12" s="8"/>
    </row>
    <row r="13" spans="2:9" ht="14.25">
      <c r="B13" s="22" t="s">
        <v>13</v>
      </c>
      <c r="C13" s="22" t="s">
        <v>14</v>
      </c>
      <c r="D13" s="22" t="s">
        <v>15</v>
      </c>
      <c r="E13" s="22" t="s">
        <v>16</v>
      </c>
      <c r="F13" s="22" t="s">
        <v>17</v>
      </c>
      <c r="G13" s="22" t="s">
        <v>18</v>
      </c>
      <c r="H13" s="22" t="s">
        <v>19</v>
      </c>
      <c r="I13" s="8"/>
    </row>
    <row r="14" spans="2:9" ht="15">
      <c r="B14" s="20" t="s">
        <v>20</v>
      </c>
      <c r="C14" s="20"/>
      <c r="D14" s="50">
        <v>10</v>
      </c>
      <c r="E14" s="23"/>
      <c r="F14" s="53" t="s">
        <v>21</v>
      </c>
      <c r="G14" s="23">
        <f>CHOOSE(nrcz,"0,5110034",105.65943,134.963,139.5673,493.667,497.67,"548,8",769,783,938.2796,939.5731,1115.6,1875.613,3727.379)</f>
        <v>938.2796</v>
      </c>
      <c r="H14" s="23"/>
      <c r="I14" s="10"/>
    </row>
    <row r="15" spans="2:8" ht="14.25">
      <c r="B15" s="54"/>
      <c r="C15" s="8"/>
      <c r="D15" s="8"/>
      <c r="E15" s="8"/>
      <c r="F15" s="8"/>
      <c r="G15" s="8"/>
      <c r="H15" s="9"/>
    </row>
    <row r="16" spans="1:8" ht="15">
      <c r="A16" s="3"/>
      <c r="B16" s="11" t="s">
        <v>22</v>
      </c>
      <c r="C16" s="12"/>
      <c r="D16" s="12"/>
      <c r="E16" s="12"/>
      <c r="F16" s="12"/>
      <c r="G16" s="12"/>
      <c r="H16" s="13"/>
    </row>
    <row r="17" spans="2:8" ht="14.25">
      <c r="B17" s="22" t="s">
        <v>24</v>
      </c>
      <c r="C17" s="22" t="s">
        <v>23</v>
      </c>
      <c r="D17" s="22" t="s">
        <v>25</v>
      </c>
      <c r="E17" s="22" t="s">
        <v>26</v>
      </c>
      <c r="F17" s="22" t="s">
        <v>36</v>
      </c>
      <c r="G17" s="22" t="s">
        <v>27</v>
      </c>
      <c r="H17" s="34"/>
    </row>
    <row r="18" spans="2:11" ht="19.5" customHeight="1">
      <c r="B18" s="21" t="s">
        <v>188</v>
      </c>
      <c r="C18" s="21"/>
      <c r="D18" s="44">
        <v>1</v>
      </c>
      <c r="E18" s="8"/>
      <c r="F18" s="8"/>
      <c r="G18" s="8"/>
      <c r="H18" s="9"/>
      <c r="J18" s="3" t="s">
        <v>4</v>
      </c>
      <c r="K18">
        <f>IF(val&gt;3.33638,(100/(val*29.979246))*(1/SQRT(1-(100/(val*29.979246))^2))*em,-1)</f>
        <v>3.129781249093916</v>
      </c>
    </row>
    <row r="19" spans="2:11" ht="19.5" customHeight="1">
      <c r="B19" s="20" t="s">
        <v>28</v>
      </c>
      <c r="C19" s="20"/>
      <c r="D19" s="45">
        <v>1000</v>
      </c>
      <c r="E19" s="43" t="s">
        <v>211</v>
      </c>
      <c r="F19" s="6"/>
      <c r="G19" s="6"/>
      <c r="H19" s="7"/>
      <c r="J19" s="2" t="s">
        <v>3</v>
      </c>
      <c r="K19" t="e">
        <f>TANH(val)*(1/SQRT(1-(TANH(val))^2))*em</f>
        <v>#DIV/0!</v>
      </c>
    </row>
    <row r="20" spans="2:11" ht="19.5" customHeight="1">
      <c r="B20" s="54"/>
      <c r="C20" s="8"/>
      <c r="D20" s="8"/>
      <c r="E20" s="8"/>
      <c r="F20" s="8"/>
      <c r="G20" s="8"/>
      <c r="H20" s="9"/>
      <c r="J20" s="2" t="s">
        <v>2</v>
      </c>
      <c r="K20">
        <f>IF(val&gt;0.999999,SQRT(val^2-1)*em,-1)</f>
        <v>938279.1308600827</v>
      </c>
    </row>
    <row r="21" spans="2:11" ht="19.5" customHeight="1">
      <c r="B21" s="14" t="s">
        <v>35</v>
      </c>
      <c r="C21" s="15" t="s">
        <v>37</v>
      </c>
      <c r="D21" s="16">
        <f>CHOOSE(nrval,Pęd,Ekin,Beta,Gamma,Rapid,TOF)</f>
        <v>1000</v>
      </c>
      <c r="E21" s="17" t="s">
        <v>39</v>
      </c>
      <c r="F21" s="17"/>
      <c r="G21" s="17"/>
      <c r="H21" s="18"/>
      <c r="J21" s="2" t="s">
        <v>1</v>
      </c>
      <c r="K21">
        <f>IF(AND(val&gt;-0.000001,val&lt;1),(1/SQRT(1-val^2))*val*em,-1)</f>
        <v>-1</v>
      </c>
    </row>
    <row r="22" spans="2:11" ht="19.5" customHeight="1">
      <c r="B22" s="54"/>
      <c r="C22" s="8"/>
      <c r="D22" s="8"/>
      <c r="E22" s="8"/>
      <c r="F22" s="8"/>
      <c r="G22" s="8"/>
      <c r="H22" s="9"/>
      <c r="J22" s="2" t="s">
        <v>0</v>
      </c>
      <c r="K22">
        <f>SQRT((val+em)^2-em^2)</f>
        <v>1696.0422164557106</v>
      </c>
    </row>
    <row r="23" spans="2:11" ht="19.5" customHeight="1">
      <c r="B23" s="61" t="s">
        <v>234</v>
      </c>
      <c r="C23" s="16"/>
      <c r="D23" s="62"/>
      <c r="E23" s="8"/>
      <c r="F23" s="55" t="s">
        <v>38</v>
      </c>
      <c r="G23" s="8"/>
      <c r="H23" s="9"/>
      <c r="J23" s="2" t="s">
        <v>29</v>
      </c>
      <c r="K23">
        <f>val</f>
        <v>1000</v>
      </c>
    </row>
    <row r="24" spans="2:8" ht="19.5" customHeight="1">
      <c r="B24" s="49" t="s">
        <v>214</v>
      </c>
      <c r="C24" s="49" t="s">
        <v>223</v>
      </c>
      <c r="D24" s="49" t="s">
        <v>224</v>
      </c>
      <c r="E24" s="8"/>
      <c r="F24" s="56" t="s">
        <v>220</v>
      </c>
      <c r="G24" s="8"/>
      <c r="H24" s="9"/>
    </row>
    <row r="25" spans="2:8" ht="19.5" customHeight="1">
      <c r="B25" s="47" t="s">
        <v>32</v>
      </c>
      <c r="C25" s="48">
        <f>em</f>
        <v>938.2796</v>
      </c>
      <c r="D25" s="48" t="s">
        <v>225</v>
      </c>
      <c r="E25" s="8"/>
      <c r="F25" s="57" t="s">
        <v>219</v>
      </c>
      <c r="G25" s="8"/>
      <c r="H25" s="9"/>
    </row>
    <row r="26" spans="2:8" ht="15">
      <c r="B26" s="47" t="s">
        <v>29</v>
      </c>
      <c r="C26" s="48">
        <f>p</f>
        <v>1000</v>
      </c>
      <c r="D26" s="48" t="s">
        <v>212</v>
      </c>
      <c r="E26" s="8"/>
      <c r="F26" s="8" t="s">
        <v>221</v>
      </c>
      <c r="G26" s="8"/>
      <c r="H26" s="9"/>
    </row>
    <row r="27" spans="2:8" ht="15">
      <c r="B27" s="47" t="s">
        <v>34</v>
      </c>
      <c r="C27" s="48">
        <f>SQRT(p^2+em^2)</f>
        <v>1371.265330917456</v>
      </c>
      <c r="D27" s="48" t="s">
        <v>203</v>
      </c>
      <c r="E27" s="8"/>
      <c r="F27" s="8" t="s">
        <v>222</v>
      </c>
      <c r="G27" s="8"/>
      <c r="H27" s="9"/>
    </row>
    <row r="28" spans="2:8" ht="15">
      <c r="B28" s="47" t="s">
        <v>33</v>
      </c>
      <c r="C28" s="48">
        <f>ec-em</f>
        <v>432.98573091745595</v>
      </c>
      <c r="D28" s="48" t="s">
        <v>203</v>
      </c>
      <c r="E28" s="8"/>
      <c r="F28" s="58" t="s">
        <v>205</v>
      </c>
      <c r="G28" s="8"/>
      <c r="H28" s="9"/>
    </row>
    <row r="29" spans="2:8" ht="15">
      <c r="B29" s="47" t="s">
        <v>1</v>
      </c>
      <c r="C29" s="48">
        <f>p/ec</f>
        <v>0.729253469371199</v>
      </c>
      <c r="D29" s="48"/>
      <c r="E29" s="8"/>
      <c r="F29" s="8" t="s">
        <v>217</v>
      </c>
      <c r="G29" s="8"/>
      <c r="H29" s="9"/>
    </row>
    <row r="30" spans="2:8" ht="15">
      <c r="B30" s="47" t="s">
        <v>2</v>
      </c>
      <c r="C30" s="48">
        <f>1/SQRT(1-bet^2)</f>
        <v>1.4614677020767113</v>
      </c>
      <c r="D30" s="48"/>
      <c r="E30" s="8"/>
      <c r="F30" s="8" t="s">
        <v>218</v>
      </c>
      <c r="G30" s="8"/>
      <c r="H30" s="9"/>
    </row>
    <row r="31" spans="2:8" ht="15">
      <c r="B31" s="47" t="s">
        <v>30</v>
      </c>
      <c r="C31" s="48">
        <f>0.5*LN((ec+p)/(ec-p))</f>
        <v>0.9271310009475244</v>
      </c>
      <c r="D31" s="48"/>
      <c r="E31" s="8"/>
      <c r="F31" s="8" t="s">
        <v>215</v>
      </c>
      <c r="G31" s="8"/>
      <c r="H31" s="9"/>
    </row>
    <row r="32" spans="2:8" ht="15">
      <c r="B32" s="47" t="s">
        <v>31</v>
      </c>
      <c r="C32" s="48">
        <f>100/(bet*29.979246)</f>
        <v>4.574048763325989</v>
      </c>
      <c r="D32" s="48" t="s">
        <v>213</v>
      </c>
      <c r="E32" s="59"/>
      <c r="F32" s="59" t="s">
        <v>216</v>
      </c>
      <c r="G32" s="59"/>
      <c r="H32" s="60"/>
    </row>
  </sheetData>
  <sheetProtection password="CEF1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3"/>
  <sheetViews>
    <sheetView zoomScalePageLayoutView="0" workbookViewId="0" topLeftCell="A1">
      <selection activeCell="C20" sqref="C20"/>
    </sheetView>
  </sheetViews>
  <sheetFormatPr defaultColWidth="8.796875" defaultRowHeight="14.25"/>
  <sheetData>
    <row r="1" spans="1:5" ht="19.5" customHeight="1">
      <c r="A1" s="5"/>
      <c r="E1" s="5"/>
    </row>
    <row r="2" spans="3:6" ht="19.5" customHeight="1">
      <c r="C2" s="26" t="s">
        <v>189</v>
      </c>
      <c r="D2" s="27"/>
      <c r="E2" s="27"/>
      <c r="F2" s="28"/>
    </row>
    <row r="3" ht="19.5" customHeight="1">
      <c r="A3" s="19"/>
    </row>
    <row r="4" ht="19.5" customHeight="1">
      <c r="A4" s="24" t="s">
        <v>231</v>
      </c>
    </row>
    <row r="5" ht="19.5" customHeight="1">
      <c r="A5" t="s">
        <v>227</v>
      </c>
    </row>
    <row r="6" spans="1:7" s="24" customFormat="1" ht="19.5" customHeight="1">
      <c r="A6" s="24" t="s">
        <v>201</v>
      </c>
      <c r="B6"/>
      <c r="C6"/>
      <c r="D6"/>
      <c r="E6"/>
      <c r="F6"/>
      <c r="G6" s="25" t="s">
        <v>190</v>
      </c>
    </row>
    <row r="7" spans="1:9" s="24" customFormat="1" ht="19.5" customHeight="1">
      <c r="A7" s="24" t="s">
        <v>191</v>
      </c>
      <c r="H7"/>
      <c r="I7"/>
    </row>
    <row r="8" spans="1:7" ht="19.5" customHeight="1">
      <c r="A8" s="24" t="s">
        <v>232</v>
      </c>
      <c r="B8" s="24"/>
      <c r="C8" s="24"/>
      <c r="D8" s="24"/>
      <c r="E8" s="24"/>
      <c r="F8" s="24"/>
      <c r="G8" s="24"/>
    </row>
    <row r="9" ht="19.5" customHeight="1">
      <c r="A9" s="24" t="s">
        <v>194</v>
      </c>
    </row>
    <row r="10" ht="19.5" customHeight="1">
      <c r="A10" s="24" t="s">
        <v>192</v>
      </c>
    </row>
    <row r="11" ht="19.5" customHeight="1">
      <c r="A11" s="24" t="s">
        <v>230</v>
      </c>
    </row>
    <row r="12" ht="19.5" customHeight="1">
      <c r="A12" s="24" t="s">
        <v>233</v>
      </c>
    </row>
    <row r="13" ht="19.5" customHeight="1">
      <c r="A13" s="19"/>
    </row>
    <row r="14" spans="1:6" ht="19.5" customHeight="1">
      <c r="A14" s="19"/>
      <c r="F14" s="63" t="s">
        <v>235</v>
      </c>
    </row>
    <row r="15" ht="19.5" customHeight="1">
      <c r="A15" s="19"/>
    </row>
    <row r="16" ht="19.5" customHeight="1">
      <c r="A16" s="19"/>
    </row>
    <row r="17" ht="19.5" customHeight="1">
      <c r="A17" s="19"/>
    </row>
    <row r="18" ht="19.5" customHeight="1">
      <c r="A18" s="19"/>
    </row>
    <row r="19" ht="19.5" customHeight="1">
      <c r="A19" s="19"/>
    </row>
    <row r="20" ht="19.5" customHeight="1">
      <c r="A20" s="19"/>
    </row>
    <row r="21" ht="19.5" customHeight="1">
      <c r="A21" s="19"/>
    </row>
    <row r="22" ht="19.5" customHeight="1">
      <c r="A22" s="19"/>
    </row>
    <row r="23" ht="19.5" customHeight="1">
      <c r="A23" s="19"/>
    </row>
    <row r="24" ht="19.5" customHeight="1">
      <c r="A24" s="19"/>
    </row>
    <row r="25" ht="19.5" customHeight="1">
      <c r="A25" s="19"/>
    </row>
    <row r="26" ht="19.5" customHeight="1">
      <c r="A26" s="19"/>
    </row>
    <row r="27" ht="19.5" customHeight="1">
      <c r="A27" s="19"/>
    </row>
    <row r="28" ht="19.5" customHeight="1">
      <c r="A28" s="19"/>
    </row>
    <row r="29" ht="19.5" customHeight="1">
      <c r="A29" s="19"/>
    </row>
    <row r="30" ht="19.5" customHeight="1">
      <c r="A30" s="19"/>
    </row>
    <row r="31" ht="19.5" customHeight="1">
      <c r="A31" s="19"/>
    </row>
    <row r="32" ht="19.5" customHeight="1">
      <c r="A32" s="19"/>
    </row>
    <row r="33" ht="19.5" customHeight="1">
      <c r="A33" s="19"/>
    </row>
    <row r="34" ht="19.5" customHeight="1">
      <c r="A34" s="19"/>
    </row>
    <row r="35" ht="19.5" customHeight="1">
      <c r="A35" s="19"/>
    </row>
    <row r="36" ht="19.5" customHeight="1">
      <c r="A36" s="19"/>
    </row>
    <row r="37" ht="19.5" customHeight="1">
      <c r="A37" s="19"/>
    </row>
    <row r="38" ht="19.5" customHeight="1">
      <c r="A38" s="19"/>
    </row>
    <row r="39" ht="19.5" customHeight="1">
      <c r="A39" s="19"/>
    </row>
    <row r="40" ht="19.5" customHeight="1">
      <c r="A40" s="19"/>
    </row>
    <row r="41" ht="19.5" customHeight="1">
      <c r="A41" s="19"/>
    </row>
    <row r="42" ht="19.5" customHeight="1">
      <c r="A42" s="19"/>
    </row>
    <row r="43" ht="19.5" customHeight="1">
      <c r="A43" s="19"/>
    </row>
    <row r="44" ht="19.5" customHeight="1">
      <c r="A44" s="19"/>
    </row>
    <row r="45" ht="19.5" customHeight="1">
      <c r="A45" s="19"/>
    </row>
    <row r="46" ht="19.5" customHeight="1">
      <c r="A46" s="19"/>
    </row>
    <row r="47" ht="19.5" customHeight="1">
      <c r="A47" s="19"/>
    </row>
    <row r="48" ht="15">
      <c r="A48" s="19"/>
    </row>
    <row r="49" ht="15">
      <c r="A49" s="19"/>
    </row>
    <row r="50" ht="15">
      <c r="A50" s="19"/>
    </row>
    <row r="51" ht="15">
      <c r="A51" s="19"/>
    </row>
    <row r="52" ht="15">
      <c r="A52" s="19"/>
    </row>
    <row r="53" ht="15">
      <c r="A53" s="19"/>
    </row>
    <row r="54" ht="15">
      <c r="A54" s="19"/>
    </row>
    <row r="55" ht="15">
      <c r="A55" s="19"/>
    </row>
    <row r="56" ht="15">
      <c r="A56" s="19"/>
    </row>
    <row r="57" ht="15">
      <c r="A57" s="19"/>
    </row>
    <row r="58" ht="15">
      <c r="A58" s="19"/>
    </row>
    <row r="59" ht="15">
      <c r="A59" s="19"/>
    </row>
    <row r="60" ht="15">
      <c r="A60" s="19"/>
    </row>
    <row r="61" ht="15">
      <c r="A61" s="19"/>
    </row>
    <row r="62" ht="15">
      <c r="A62" s="19"/>
    </row>
    <row r="63" ht="15">
      <c r="A63" s="19"/>
    </row>
    <row r="64" ht="15">
      <c r="A64" s="19"/>
    </row>
    <row r="65" ht="15">
      <c r="A65" s="19"/>
    </row>
    <row r="66" ht="15">
      <c r="A66" s="19"/>
    </row>
    <row r="67" ht="15">
      <c r="A67" s="19"/>
    </row>
    <row r="68" ht="15">
      <c r="A68" s="19"/>
    </row>
    <row r="69" ht="15">
      <c r="A69" s="19"/>
    </row>
    <row r="70" ht="15">
      <c r="A70" s="19"/>
    </row>
    <row r="71" ht="15">
      <c r="A71" s="19"/>
    </row>
    <row r="72" ht="15">
      <c r="A72" s="19"/>
    </row>
    <row r="73" ht="15">
      <c r="A73" s="19"/>
    </row>
    <row r="74" ht="15">
      <c r="A74" s="19"/>
    </row>
    <row r="75" ht="15">
      <c r="A75" s="19"/>
    </row>
    <row r="76" ht="15">
      <c r="A76" s="19"/>
    </row>
    <row r="77" ht="15">
      <c r="A77" s="19"/>
    </row>
    <row r="78" ht="15">
      <c r="A78" s="19"/>
    </row>
    <row r="79" ht="15">
      <c r="A79" s="19"/>
    </row>
    <row r="80" ht="15">
      <c r="A80" s="19"/>
    </row>
    <row r="81" ht="15">
      <c r="A81" s="19"/>
    </row>
    <row r="82" ht="15">
      <c r="A82" s="19"/>
    </row>
    <row r="83" ht="15">
      <c r="A83" s="19"/>
    </row>
    <row r="84" ht="15">
      <c r="A84" s="19"/>
    </row>
    <row r="85" ht="15">
      <c r="A85" s="19"/>
    </row>
    <row r="86" ht="15">
      <c r="A86" s="19"/>
    </row>
    <row r="87" ht="15">
      <c r="A87" s="19"/>
    </row>
    <row r="88" ht="15">
      <c r="A88" s="19"/>
    </row>
    <row r="89" ht="15">
      <c r="A89" s="19"/>
    </row>
    <row r="90" ht="15">
      <c r="A90" s="19"/>
    </row>
    <row r="91" ht="15">
      <c r="A91" s="19"/>
    </row>
    <row r="92" ht="15">
      <c r="A92" s="19"/>
    </row>
    <row r="93" ht="15">
      <c r="A93" s="19"/>
    </row>
    <row r="94" ht="15">
      <c r="A94" s="19"/>
    </row>
    <row r="95" ht="15">
      <c r="A95" s="19"/>
    </row>
    <row r="96" ht="15">
      <c r="A96" s="19"/>
    </row>
    <row r="97" ht="15">
      <c r="A97" s="19"/>
    </row>
    <row r="98" ht="15">
      <c r="A98" s="19"/>
    </row>
    <row r="99" ht="15">
      <c r="A99" s="19"/>
    </row>
    <row r="100" ht="15">
      <c r="A100" s="19"/>
    </row>
    <row r="101" ht="15">
      <c r="A101" s="19"/>
    </row>
    <row r="102" ht="15">
      <c r="A102" s="19"/>
    </row>
    <row r="103" ht="15">
      <c r="A103" s="19"/>
    </row>
    <row r="104" ht="15">
      <c r="A104" s="19"/>
    </row>
    <row r="105" ht="15">
      <c r="A105" s="19"/>
    </row>
    <row r="106" ht="15">
      <c r="A106" s="19"/>
    </row>
    <row r="107" ht="15">
      <c r="A107" s="19"/>
    </row>
    <row r="108" ht="15">
      <c r="A108" s="19"/>
    </row>
    <row r="109" ht="15">
      <c r="A109" s="19"/>
    </row>
    <row r="110" ht="15">
      <c r="A110" s="19"/>
    </row>
    <row r="111" ht="15">
      <c r="A111" s="19"/>
    </row>
    <row r="112" ht="15">
      <c r="A112" s="19"/>
    </row>
    <row r="113" ht="15">
      <c r="A113" s="19"/>
    </row>
    <row r="114" ht="15">
      <c r="A114" s="19"/>
    </row>
    <row r="115" ht="15">
      <c r="A115" s="19"/>
    </row>
    <row r="116" ht="15">
      <c r="A116" s="19"/>
    </row>
    <row r="117" ht="15">
      <c r="A117" s="19"/>
    </row>
    <row r="118" ht="15">
      <c r="A118" s="19"/>
    </row>
    <row r="119" ht="15">
      <c r="A119" s="19"/>
    </row>
    <row r="120" ht="15">
      <c r="A120" s="19"/>
    </row>
    <row r="121" ht="15">
      <c r="A121" s="19"/>
    </row>
    <row r="122" ht="15">
      <c r="A122" s="19"/>
    </row>
    <row r="123" ht="15">
      <c r="A123" s="19"/>
    </row>
    <row r="124" ht="15">
      <c r="A124" s="19"/>
    </row>
    <row r="125" ht="15">
      <c r="A125" s="19"/>
    </row>
    <row r="126" ht="15">
      <c r="A126" s="19"/>
    </row>
    <row r="127" ht="15">
      <c r="A127" s="19"/>
    </row>
    <row r="128" ht="15">
      <c r="A128" s="19"/>
    </row>
    <row r="129" ht="15">
      <c r="A129" s="19"/>
    </row>
    <row r="130" ht="15">
      <c r="A130" s="19"/>
    </row>
    <row r="131" ht="15">
      <c r="A131" s="19"/>
    </row>
    <row r="132" ht="15">
      <c r="A132" s="19"/>
    </row>
    <row r="133" ht="15">
      <c r="A133" s="19"/>
    </row>
    <row r="134" ht="15">
      <c r="A134" s="19"/>
    </row>
    <row r="135" ht="15">
      <c r="A135" s="19"/>
    </row>
    <row r="136" ht="15">
      <c r="A136" s="19"/>
    </row>
    <row r="137" ht="15">
      <c r="A137" s="19"/>
    </row>
    <row r="138" ht="15">
      <c r="A138" s="19"/>
    </row>
    <row r="139" ht="15">
      <c r="A139" s="19"/>
    </row>
    <row r="140" ht="15">
      <c r="A140" s="19"/>
    </row>
    <row r="141" ht="15">
      <c r="A141" s="19"/>
    </row>
    <row r="142" ht="15">
      <c r="A142" s="19"/>
    </row>
    <row r="143" ht="15">
      <c r="A143" s="19"/>
    </row>
    <row r="144" ht="15">
      <c r="A144" s="19"/>
    </row>
    <row r="145" ht="15">
      <c r="A145" s="19"/>
    </row>
    <row r="146" ht="15">
      <c r="A146" s="19"/>
    </row>
    <row r="147" ht="15">
      <c r="A147" s="19"/>
    </row>
    <row r="148" ht="15">
      <c r="A148" s="19"/>
    </row>
    <row r="149" ht="15">
      <c r="A149" s="19"/>
    </row>
    <row r="150" ht="15">
      <c r="A150" s="19"/>
    </row>
    <row r="151" ht="15">
      <c r="A151" s="19"/>
    </row>
    <row r="152" ht="15">
      <c r="A152" s="19"/>
    </row>
    <row r="153" ht="15">
      <c r="A153" s="19"/>
    </row>
    <row r="154" ht="15">
      <c r="A154" s="19"/>
    </row>
    <row r="155" ht="15">
      <c r="A155" s="19"/>
    </row>
    <row r="156" ht="15">
      <c r="A156" s="19"/>
    </row>
    <row r="157" ht="15">
      <c r="A157" s="19"/>
    </row>
    <row r="158" ht="15">
      <c r="A158" s="19"/>
    </row>
    <row r="159" ht="15">
      <c r="A159" s="19"/>
    </row>
    <row r="160" ht="15">
      <c r="A160" s="19"/>
    </row>
    <row r="161" ht="15">
      <c r="A161" s="19"/>
    </row>
    <row r="162" ht="15">
      <c r="A162" s="19"/>
    </row>
    <row r="163" ht="15">
      <c r="A163" s="19"/>
    </row>
    <row r="164" ht="15">
      <c r="A164" s="19"/>
    </row>
    <row r="165" ht="15">
      <c r="A165" s="19"/>
    </row>
    <row r="166" ht="15">
      <c r="A166" s="19"/>
    </row>
    <row r="167" ht="15">
      <c r="A167" s="19"/>
    </row>
    <row r="168" ht="15">
      <c r="A168" s="19"/>
    </row>
    <row r="169" ht="15">
      <c r="A169" s="19"/>
    </row>
    <row r="170" ht="15">
      <c r="A170" s="19"/>
    </row>
    <row r="171" ht="15">
      <c r="A171" s="19"/>
    </row>
    <row r="172" ht="15">
      <c r="A172" s="19"/>
    </row>
    <row r="173" ht="15">
      <c r="A173" s="19"/>
    </row>
  </sheetData>
  <sheetProtection password="CEF1" sheet="1"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6"/>
  <sheetViews>
    <sheetView zoomScalePageLayoutView="0" workbookViewId="0" topLeftCell="A1">
      <selection activeCell="J27" sqref="J27"/>
    </sheetView>
  </sheetViews>
  <sheetFormatPr defaultColWidth="8.796875" defaultRowHeight="14.25"/>
  <cols>
    <col min="12" max="12" width="9.19921875" style="0" bestFit="1" customWidth="1"/>
  </cols>
  <sheetData>
    <row r="2" spans="2:12" ht="14.25" hidden="1">
      <c r="B2" t="s">
        <v>195</v>
      </c>
      <c r="C2">
        <v>0</v>
      </c>
      <c r="E2" t="s">
        <v>196</v>
      </c>
      <c r="F2">
        <f>pedmax</f>
        <v>1000</v>
      </c>
      <c r="H2" t="s">
        <v>198</v>
      </c>
      <c r="I2">
        <v>50</v>
      </c>
      <c r="K2" t="s">
        <v>197</v>
      </c>
      <c r="L2">
        <f>(pmax-pmin)/nint</f>
        <v>20</v>
      </c>
    </row>
    <row r="3" ht="18.75">
      <c r="A3" s="36" t="s">
        <v>209</v>
      </c>
    </row>
    <row r="5" spans="1:11" ht="15">
      <c r="A5" s="35" t="s">
        <v>29</v>
      </c>
      <c r="B5" s="35" t="s">
        <v>199</v>
      </c>
      <c r="C5" s="35" t="s">
        <v>200</v>
      </c>
      <c r="D5" s="35" t="s">
        <v>1</v>
      </c>
      <c r="E5" s="35" t="s">
        <v>2</v>
      </c>
      <c r="F5" s="35" t="s">
        <v>30</v>
      </c>
      <c r="G5" s="35" t="s">
        <v>4</v>
      </c>
      <c r="J5" s="37"/>
      <c r="K5" s="38"/>
    </row>
    <row r="6" spans="1:11" ht="15">
      <c r="A6" s="34">
        <f>pmin</f>
        <v>0</v>
      </c>
      <c r="B6" s="34">
        <f aca="true" t="shared" si="0" ref="B6:B37">SQRT(xx^2+em^2)</f>
        <v>938.2796</v>
      </c>
      <c r="C6" s="34">
        <f aca="true" t="shared" si="1" ref="C6:C37">etot-em</f>
        <v>0</v>
      </c>
      <c r="D6" s="34">
        <f aca="true" t="shared" si="2" ref="D6:D37">xx/etot</f>
        <v>0</v>
      </c>
      <c r="E6" s="34">
        <f aca="true" t="shared" si="3" ref="E6:E37">1/SQRT(1-betaxx^2)</f>
        <v>1</v>
      </c>
      <c r="F6" s="34">
        <f aca="true" t="shared" si="4" ref="F6:F37">0.5*LN((etot+xx)/(etot-xx))</f>
        <v>0</v>
      </c>
      <c r="G6" s="34"/>
      <c r="J6" s="37"/>
      <c r="K6" s="38"/>
    </row>
    <row r="7" spans="1:11" ht="20.25">
      <c r="A7" s="34">
        <f>pmin+delta</f>
        <v>20</v>
      </c>
      <c r="B7" s="34">
        <f t="shared" si="0"/>
        <v>938.4927318717816</v>
      </c>
      <c r="C7" s="34">
        <f t="shared" si="1"/>
        <v>0.2131318717816839</v>
      </c>
      <c r="D7" s="34">
        <f t="shared" si="2"/>
        <v>0.02131076706381188</v>
      </c>
      <c r="E7" s="34">
        <f t="shared" si="3"/>
        <v>1.0002271517698793</v>
      </c>
      <c r="F7" s="34">
        <f t="shared" si="4"/>
        <v>0.021313994029549945</v>
      </c>
      <c r="G7" s="34">
        <f aca="true" t="shared" si="5" ref="G7:G38">100/(betaxx*29.979246)</f>
        <v>156.5237384342124</v>
      </c>
      <c r="I7" s="39" t="s">
        <v>210</v>
      </c>
      <c r="J7" s="40">
        <f>em</f>
        <v>938.2796</v>
      </c>
      <c r="K7" s="41" t="s">
        <v>203</v>
      </c>
    </row>
    <row r="8" spans="1:11" ht="16.5">
      <c r="A8" s="34">
        <f>next+delta</f>
        <v>40</v>
      </c>
      <c r="B8" s="34">
        <f t="shared" si="0"/>
        <v>939.131837271083</v>
      </c>
      <c r="C8" s="34">
        <f t="shared" si="1"/>
        <v>0.8522372710830268</v>
      </c>
      <c r="D8" s="34">
        <f t="shared" si="2"/>
        <v>0.042592528985314224</v>
      </c>
      <c r="E8" s="34">
        <f t="shared" si="3"/>
        <v>1.0009082977729484</v>
      </c>
      <c r="F8" s="34">
        <f t="shared" si="4"/>
        <v>0.042618313092750854</v>
      </c>
      <c r="G8" s="34">
        <f t="shared" si="5"/>
        <v>78.31516487031419</v>
      </c>
      <c r="I8" s="42" t="s">
        <v>208</v>
      </c>
      <c r="J8" s="32">
        <f>pedmax</f>
        <v>1000</v>
      </c>
      <c r="K8" s="33" t="s">
        <v>203</v>
      </c>
    </row>
    <row r="9" spans="1:7" ht="14.25">
      <c r="A9" s="34">
        <f>next2+delta</f>
        <v>60</v>
      </c>
      <c r="B9" s="34">
        <f t="shared" si="0"/>
        <v>940.1960475220899</v>
      </c>
      <c r="C9" s="34">
        <f t="shared" si="1"/>
        <v>1.9164475220899249</v>
      </c>
      <c r="D9" s="34">
        <f t="shared" si="2"/>
        <v>0.06381647759329716</v>
      </c>
      <c r="E9" s="34">
        <f t="shared" si="3"/>
        <v>1.0020425121915577</v>
      </c>
      <c r="F9" s="34">
        <f t="shared" si="4"/>
        <v>0.06390332167706587</v>
      </c>
      <c r="G9" s="34">
        <f t="shared" si="5"/>
        <v>52.269273634727725</v>
      </c>
    </row>
    <row r="10" spans="1:7" ht="14.25">
      <c r="A10" s="34">
        <f>next3+delta</f>
        <v>80</v>
      </c>
      <c r="B10" s="34">
        <f t="shared" si="0"/>
        <v>941.6839213749802</v>
      </c>
      <c r="C10" s="34">
        <f t="shared" si="1"/>
        <v>3.4043213749802135</v>
      </c>
      <c r="D10" s="34">
        <f t="shared" si="2"/>
        <v>0.08495419554704689</v>
      </c>
      <c r="E10" s="34">
        <f t="shared" si="3"/>
        <v>1.0036282589699064</v>
      </c>
      <c r="F10" s="34">
        <f t="shared" si="4"/>
        <v>0.08515946273187742</v>
      </c>
      <c r="G10" s="34">
        <f t="shared" si="5"/>
        <v>39.26399288757046</v>
      </c>
    </row>
    <row r="11" spans="1:7" ht="14.25">
      <c r="A11" s="34">
        <f>next4+delta</f>
        <v>100</v>
      </c>
      <c r="B11" s="34">
        <f t="shared" si="0"/>
        <v>943.5934547124413</v>
      </c>
      <c r="C11" s="34">
        <f t="shared" si="1"/>
        <v>5.313854712441298</v>
      </c>
      <c r="D11" s="34">
        <f t="shared" si="2"/>
        <v>0.10597784406047503</v>
      </c>
      <c r="E11" s="34">
        <f t="shared" si="3"/>
        <v>1.0056634021590594</v>
      </c>
      <c r="F11" s="34">
        <f t="shared" si="4"/>
        <v>0.10637729579501867</v>
      </c>
      <c r="G11" s="34">
        <f t="shared" si="5"/>
        <v>31.47488948562753</v>
      </c>
    </row>
    <row r="12" spans="1:7" ht="14.25">
      <c r="A12" s="34">
        <f>next5+delta</f>
        <v>120</v>
      </c>
      <c r="B12" s="34">
        <f t="shared" si="0"/>
        <v>945.9220939253718</v>
      </c>
      <c r="C12" s="34">
        <f t="shared" si="1"/>
        <v>7.642493925371809</v>
      </c>
      <c r="D12" s="34">
        <f t="shared" si="2"/>
        <v>0.12686034163979193</v>
      </c>
      <c r="E12" s="34">
        <f t="shared" si="3"/>
        <v>1.008145220172507</v>
      </c>
      <c r="F12" s="34">
        <f t="shared" si="4"/>
        <v>0.12754753382116563</v>
      </c>
      <c r="G12" s="34">
        <f t="shared" si="5"/>
        <v>26.293803773599787</v>
      </c>
    </row>
    <row r="13" spans="1:7" ht="14.25">
      <c r="A13" s="34">
        <f>next6+delta</f>
        <v>140</v>
      </c>
      <c r="B13" s="34">
        <f t="shared" si="0"/>
        <v>948.6667527515444</v>
      </c>
      <c r="C13" s="34">
        <f t="shared" si="1"/>
        <v>10.387152751544477</v>
      </c>
      <c r="D13" s="34">
        <f t="shared" si="2"/>
        <v>0.14757553123258443</v>
      </c>
      <c r="E13" s="34">
        <f t="shared" si="3"/>
        <v>1.0110704237324828</v>
      </c>
      <c r="F13" s="34">
        <f t="shared" si="4"/>
        <v>0.14866107832361894</v>
      </c>
      <c r="G13" s="34">
        <f t="shared" si="5"/>
        <v>22.60294035107641</v>
      </c>
    </row>
    <row r="14" spans="1:7" ht="14.25">
      <c r="A14" s="34">
        <f>next7+delta</f>
        <v>160</v>
      </c>
      <c r="B14" s="34">
        <f t="shared" si="0"/>
        <v>951.8238323220111</v>
      </c>
      <c r="C14" s="34">
        <f t="shared" si="1"/>
        <v>13.544232322011112</v>
      </c>
      <c r="D14" s="34">
        <f t="shared" si="2"/>
        <v>0.1680983335011415</v>
      </c>
      <c r="E14" s="34">
        <f t="shared" si="3"/>
        <v>1.014435177235028</v>
      </c>
      <c r="F14" s="34">
        <f t="shared" si="4"/>
        <v>0.16970905247688298</v>
      </c>
      <c r="G14" s="34">
        <f t="shared" si="5"/>
        <v>19.84339083115222</v>
      </c>
    </row>
    <row r="15" spans="1:7" ht="14.25">
      <c r="A15" s="34">
        <f>next8a+delta</f>
        <v>180</v>
      </c>
      <c r="B15" s="34">
        <f t="shared" si="0"/>
        <v>955.3892441178934</v>
      </c>
      <c r="C15" s="34">
        <f t="shared" si="1"/>
        <v>17.10964411789348</v>
      </c>
      <c r="D15" s="34">
        <f t="shared" si="2"/>
        <v>0.18840488430052735</v>
      </c>
      <c r="E15" s="34">
        <f t="shared" si="3"/>
        <v>1.0182351232168891</v>
      </c>
      <c r="F15" s="34">
        <f t="shared" si="4"/>
        <v>0.19068283186986237</v>
      </c>
      <c r="G15" s="34">
        <f t="shared" si="5"/>
        <v>17.704641480566877</v>
      </c>
    </row>
    <row r="16" spans="1:7" ht="14.25">
      <c r="A16" s="34">
        <f>next9+delta</f>
        <v>200</v>
      </c>
      <c r="B16" s="34">
        <f t="shared" si="0"/>
        <v>959.3584355058123</v>
      </c>
      <c r="C16" s="34">
        <f t="shared" si="1"/>
        <v>21.07883550581232</v>
      </c>
      <c r="D16" s="34">
        <f t="shared" si="2"/>
        <v>0.208472654847249</v>
      </c>
      <c r="E16" s="34">
        <f t="shared" si="3"/>
        <v>1.0224654095706784</v>
      </c>
      <c r="F16" s="34">
        <f t="shared" si="4"/>
        <v>0.21157407264703695</v>
      </c>
      <c r="G16" s="34">
        <f t="shared" si="5"/>
        <v>16.00037631876753</v>
      </c>
    </row>
    <row r="17" spans="1:7" ht="14.25">
      <c r="A17" s="34">
        <f>next10+delta</f>
        <v>220</v>
      </c>
      <c r="B17" s="34">
        <f t="shared" si="0"/>
        <v>963.7264174941765</v>
      </c>
      <c r="C17" s="34">
        <f t="shared" si="1"/>
        <v>25.44681749417657</v>
      </c>
      <c r="D17" s="34">
        <f t="shared" si="2"/>
        <v>0.22828055349155082</v>
      </c>
      <c r="E17" s="34">
        <f t="shared" si="3"/>
        <v>1.0271207191269816</v>
      </c>
      <c r="F17" s="34">
        <f t="shared" si="4"/>
        <v>0.2323747368260681</v>
      </c>
      <c r="G17" s="34">
        <f t="shared" si="5"/>
        <v>14.612024014791865</v>
      </c>
    </row>
    <row r="18" spans="1:7" ht="14.25">
      <c r="A18" s="34">
        <f>next11+delta</f>
        <v>240</v>
      </c>
      <c r="B18" s="34">
        <f t="shared" si="0"/>
        <v>968.487794335148</v>
      </c>
      <c r="C18" s="34">
        <f t="shared" si="1"/>
        <v>30.20819433514805</v>
      </c>
      <c r="D18" s="34">
        <f t="shared" si="2"/>
        <v>0.24780900843955014</v>
      </c>
      <c r="E18" s="34">
        <f t="shared" si="3"/>
        <v>1.0321953012035516</v>
      </c>
      <c r="F18" s="34">
        <f t="shared" si="4"/>
        <v>0.2530771146333818</v>
      </c>
      <c r="G18" s="34">
        <f t="shared" si="5"/>
        <v>13.460531361361735</v>
      </c>
    </row>
    <row r="19" spans="1:7" ht="14.25">
      <c r="A19" s="34">
        <f>next12+delta</f>
        <v>260</v>
      </c>
      <c r="B19" s="34">
        <f t="shared" si="0"/>
        <v>973.63679458829</v>
      </c>
      <c r="C19" s="34">
        <f t="shared" si="1"/>
        <v>35.357194588289985</v>
      </c>
      <c r="D19" s="34">
        <f t="shared" si="2"/>
        <v>0.26704003119555797</v>
      </c>
      <c r="E19" s="34">
        <f t="shared" si="3"/>
        <v>1.0376830047123373</v>
      </c>
      <c r="F19" s="34">
        <f t="shared" si="4"/>
        <v>0.2736738437527754</v>
      </c>
      <c r="G19" s="34">
        <f t="shared" si="5"/>
        <v>12.491164395070687</v>
      </c>
    </row>
    <row r="20" spans="1:7" ht="14.25">
      <c r="A20" s="34">
        <f>next13+delta</f>
        <v>280</v>
      </c>
      <c r="B20" s="34">
        <f t="shared" si="0"/>
        <v>979.1673032613783</v>
      </c>
      <c r="C20" s="34">
        <f t="shared" si="1"/>
        <v>40.887703261378306</v>
      </c>
      <c r="D20" s="34">
        <f t="shared" si="2"/>
        <v>0.28595726089646295</v>
      </c>
      <c r="E20" s="34">
        <f t="shared" si="3"/>
        <v>1.043577312414528</v>
      </c>
      <c r="F20" s="34">
        <f t="shared" si="4"/>
        <v>0.2941579254345688</v>
      </c>
      <c r="G20" s="34">
        <f t="shared" si="5"/>
        <v>11.664823335037681</v>
      </c>
    </row>
    <row r="21" spans="1:7" ht="14.25">
      <c r="A21" s="34">
        <f>next14a+delta</f>
        <v>300</v>
      </c>
      <c r="B21" s="34">
        <f t="shared" si="0"/>
        <v>985.0728946510303</v>
      </c>
      <c r="C21" s="34">
        <f t="shared" si="1"/>
        <v>46.79329465103035</v>
      </c>
      <c r="D21" s="34">
        <f t="shared" si="2"/>
        <v>0.304545990077493</v>
      </c>
      <c r="E21" s="34">
        <f t="shared" si="3"/>
        <v>1.0498713759214529</v>
      </c>
      <c r="F21" s="34">
        <f t="shared" si="4"/>
        <v>0.31452273746291515</v>
      </c>
      <c r="G21" s="34">
        <f t="shared" si="5"/>
        <v>10.952831553880424</v>
      </c>
    </row>
    <row r="22" spans="1:7" ht="14.25">
      <c r="A22" s="34">
        <f>next15+delta</f>
        <v>320</v>
      </c>
      <c r="B22" s="34">
        <f t="shared" si="0"/>
        <v>991.3468655199147</v>
      </c>
      <c r="C22" s="34">
        <f t="shared" si="1"/>
        <v>53.06726551991471</v>
      </c>
      <c r="D22" s="34">
        <f t="shared" si="2"/>
        <v>0.3227931727329113</v>
      </c>
      <c r="E22" s="34">
        <f t="shared" si="3"/>
        <v>1.0565580510542003</v>
      </c>
      <c r="F22" s="34">
        <f t="shared" si="4"/>
        <v>0.3347620440254975</v>
      </c>
      <c r="G22" s="34">
        <f t="shared" si="5"/>
        <v>10.333678688082193</v>
      </c>
    </row>
    <row r="23" spans="1:7" ht="14.25">
      <c r="A23" s="34">
        <f>next16+delta</f>
        <v>340</v>
      </c>
      <c r="B23" s="34">
        <f t="shared" si="0"/>
        <v>997.9822682674076</v>
      </c>
      <c r="C23" s="34">
        <f t="shared" si="1"/>
        <v>59.7026682674076</v>
      </c>
      <c r="D23" s="34">
        <f t="shared" si="2"/>
        <v>0.3406874158097743</v>
      </c>
      <c r="E23" s="34">
        <f t="shared" si="3"/>
        <v>1.0636299331962538</v>
      </c>
      <c r="F23" s="34">
        <f t="shared" si="4"/>
        <v>0.35487000257201445</v>
      </c>
      <c r="G23" s="34">
        <f t="shared" si="5"/>
        <v>9.790913238753152</v>
      </c>
    </row>
    <row r="24" spans="1:7" ht="14.25">
      <c r="A24" s="34">
        <f>next17a+delta</f>
        <v>360</v>
      </c>
      <c r="B24" s="34">
        <f t="shared" si="0"/>
        <v>1004.971943775626</v>
      </c>
      <c r="C24" s="34">
        <f t="shared" si="1"/>
        <v>66.692343775626</v>
      </c>
      <c r="D24" s="34">
        <f t="shared" si="2"/>
        <v>0.35821895549392074</v>
      </c>
      <c r="E24" s="34">
        <f t="shared" si="3"/>
        <v>1.071079392300148</v>
      </c>
      <c r="F24" s="34">
        <f t="shared" si="4"/>
        <v>0.37484116778493615</v>
      </c>
      <c r="G24" s="34">
        <f t="shared" si="5"/>
        <v>9.311737635796685</v>
      </c>
    </row>
    <row r="25" spans="1:9" ht="14.25">
      <c r="A25" s="34">
        <f>next18+delta</f>
        <v>380</v>
      </c>
      <c r="B25" s="34">
        <f t="shared" si="0"/>
        <v>1012.3085536417046</v>
      </c>
      <c r="C25" s="34">
        <f t="shared" si="1"/>
        <v>74.02895364170467</v>
      </c>
      <c r="D25" s="34">
        <f t="shared" si="2"/>
        <v>0.3753796198135226</v>
      </c>
      <c r="E25" s="34">
        <f t="shared" si="3"/>
        <v>1.0788986072400004</v>
      </c>
      <c r="F25" s="34">
        <f t="shared" si="4"/>
        <v>0.3946704928175205</v>
      </c>
      <c r="G25" s="34">
        <f t="shared" si="5"/>
        <v>8.886046960635653</v>
      </c>
      <c r="I25" t="s">
        <v>206</v>
      </c>
    </row>
    <row r="26" spans="1:7" ht="14.25">
      <c r="A26" s="34">
        <f>next19+delta</f>
        <v>400</v>
      </c>
      <c r="B26" s="34">
        <f t="shared" si="0"/>
        <v>1019.9846115388996</v>
      </c>
      <c r="C26" s="34">
        <f t="shared" si="1"/>
        <v>81.70501153889961</v>
      </c>
      <c r="D26" s="34">
        <f t="shared" si="2"/>
        <v>0.39216277919771836</v>
      </c>
      <c r="E26" s="34">
        <f t="shared" si="3"/>
        <v>1.087079599235558</v>
      </c>
      <c r="F26" s="34">
        <f t="shared" si="4"/>
        <v>0.41435332797979246</v>
      </c>
      <c r="G26" s="34">
        <f t="shared" si="5"/>
        <v>8.505756044855994</v>
      </c>
    </row>
    <row r="27" spans="1:9" ht="15">
      <c r="A27" s="34">
        <f>next20+delta</f>
        <v>420</v>
      </c>
      <c r="B27" s="34">
        <f t="shared" si="0"/>
        <v>1027.9925134825446</v>
      </c>
      <c r="C27" s="34">
        <f t="shared" si="1"/>
        <v>89.71291348254465</v>
      </c>
      <c r="D27" s="34">
        <f t="shared" si="2"/>
        <v>0.4085632866888885</v>
      </c>
      <c r="E27" s="34">
        <f t="shared" si="3"/>
        <v>1.0956142641090618</v>
      </c>
      <c r="F27" s="34">
        <f t="shared" si="4"/>
        <v>0.43388541707307765</v>
      </c>
      <c r="G27" s="34">
        <f t="shared" si="5"/>
        <v>8.16431881768303</v>
      </c>
      <c r="I27" t="s">
        <v>207</v>
      </c>
    </row>
    <row r="28" spans="1:7" ht="14.25">
      <c r="A28" s="34">
        <f>next21+delta</f>
        <v>440</v>
      </c>
      <c r="B28" s="34">
        <f t="shared" si="0"/>
        <v>1036.324566811074</v>
      </c>
      <c r="C28" s="34">
        <f t="shared" si="1"/>
        <v>98.044966811074</v>
      </c>
      <c r="D28" s="34">
        <f t="shared" si="2"/>
        <v>0.42457740952136835</v>
      </c>
      <c r="E28" s="34">
        <f t="shared" si="3"/>
        <v>1.1044944031726511</v>
      </c>
      <c r="F28" s="34">
        <f t="shared" si="4"/>
        <v>0.4532628915878969</v>
      </c>
      <c r="G28" s="34">
        <f t="shared" si="5"/>
        <v>7.856378730768627</v>
      </c>
    </row>
    <row r="29" spans="1:7" ht="14.25">
      <c r="A29" s="34">
        <f>next22+delta</f>
        <v>460</v>
      </c>
      <c r="B29" s="34">
        <f t="shared" si="0"/>
        <v>1044.9730177263716</v>
      </c>
      <c r="C29" s="34">
        <f t="shared" si="1"/>
        <v>106.69341772637165</v>
      </c>
      <c r="D29" s="34">
        <f t="shared" si="2"/>
        <v>0.4402027537523002</v>
      </c>
      <c r="E29" s="34">
        <f t="shared" si="3"/>
        <v>1.1137117525803308</v>
      </c>
      <c r="F29" s="34">
        <f t="shared" si="4"/>
        <v>0.4724822629888877</v>
      </c>
      <c r="G29" s="34">
        <f t="shared" si="5"/>
        <v>7.577510366065241</v>
      </c>
    </row>
    <row r="30" spans="1:7" ht="14.25">
      <c r="A30" s="34">
        <f>next23+delta</f>
        <v>480</v>
      </c>
      <c r="B30" s="34">
        <f t="shared" si="0"/>
        <v>1053.9300772708596</v>
      </c>
      <c r="C30" s="34">
        <f t="shared" si="1"/>
        <v>115.6504772708596</v>
      </c>
      <c r="D30" s="34">
        <f t="shared" si="2"/>
        <v>0.45543818356807386</v>
      </c>
      <c r="E30" s="34">
        <f t="shared" si="3"/>
        <v>1.1232580110138382</v>
      </c>
      <c r="F30" s="34">
        <f t="shared" si="4"/>
        <v>0.4915404133143253</v>
      </c>
      <c r="G30" s="34">
        <f t="shared" si="5"/>
        <v>7.3240256308679585</v>
      </c>
    </row>
    <row r="31" spans="1:7" ht="14.25">
      <c r="A31" s="34">
        <f>next24+delta</f>
        <v>500</v>
      </c>
      <c r="B31" s="34">
        <f t="shared" si="0"/>
        <v>1063.1879456503257</v>
      </c>
      <c r="C31" s="34">
        <f t="shared" si="1"/>
        <v>124.90834565032571</v>
      </c>
      <c r="D31" s="34">
        <f t="shared" si="2"/>
        <v>0.4702837367989179</v>
      </c>
      <c r="E31" s="34">
        <f t="shared" si="3"/>
        <v>1.1331248656054398</v>
      </c>
      <c r="F31" s="34">
        <f t="shared" si="4"/>
        <v>0.5104345843173128</v>
      </c>
      <c r="G31" s="34">
        <f t="shared" si="5"/>
        <v>7.092826455010415</v>
      </c>
    </row>
    <row r="32" spans="1:7" ht="14.25">
      <c r="A32" s="34">
        <f>next25+delta</f>
        <v>520</v>
      </c>
      <c r="B32" s="34">
        <f t="shared" si="0"/>
        <v>1072.7388348410623</v>
      </c>
      <c r="C32" s="34">
        <f t="shared" si="1"/>
        <v>134.4592348410623</v>
      </c>
      <c r="D32" s="34">
        <f t="shared" si="2"/>
        <v>0.4847405380611988</v>
      </c>
      <c r="E32" s="34">
        <f t="shared" si="3"/>
        <v>1.1433040160321746</v>
      </c>
      <c r="F32" s="34">
        <f t="shared" si="4"/>
        <v>0.5291623653713248</v>
      </c>
      <c r="G32" s="34">
        <f t="shared" si="5"/>
        <v>6.881291470009864</v>
      </c>
    </row>
    <row r="33" spans="1:7" ht="14.25">
      <c r="A33" s="34">
        <f>nn26+delta</f>
        <v>540</v>
      </c>
      <c r="B33" s="34">
        <f t="shared" si="0"/>
        <v>1082.5749894469943</v>
      </c>
      <c r="C33" s="34">
        <f t="shared" si="1"/>
        <v>144.29538944699436</v>
      </c>
      <c r="D33" s="34">
        <f t="shared" si="2"/>
        <v>0.49881071081814404</v>
      </c>
      <c r="E33" s="34">
        <f t="shared" si="3"/>
        <v>1.1537871967449729</v>
      </c>
      <c r="F33" s="34">
        <f t="shared" si="4"/>
        <v>0.5477216803551636</v>
      </c>
      <c r="G33" s="34">
        <f t="shared" si="5"/>
        <v>6.687187859814471</v>
      </c>
    </row>
    <row r="34" spans="1:7" ht="14.25">
      <c r="A34" s="34">
        <f>nn27+delta</f>
        <v>560</v>
      </c>
      <c r="B34" s="34">
        <f t="shared" si="0"/>
        <v>1092.6887057969254</v>
      </c>
      <c r="C34" s="34">
        <f t="shared" si="1"/>
        <v>154.40910579692547</v>
      </c>
      <c r="D34" s="34">
        <f t="shared" si="2"/>
        <v>0.5124972895108107</v>
      </c>
      <c r="E34" s="34">
        <f t="shared" si="3"/>
        <v>1.164566197322126</v>
      </c>
      <c r="F34" s="34">
        <f t="shared" si="4"/>
        <v>0.5661107737220766</v>
      </c>
      <c r="G34" s="34">
        <f t="shared" si="5"/>
        <v>6.508602090193409</v>
      </c>
    </row>
    <row r="35" spans="1:7" ht="14.25">
      <c r="A35" s="34">
        <f>nn28+delta</f>
        <v>580</v>
      </c>
      <c r="B35" s="34">
        <f t="shared" si="0"/>
        <v>1103.0723492936263</v>
      </c>
      <c r="C35" s="34">
        <f t="shared" si="1"/>
        <v>164.79274929362634</v>
      </c>
      <c r="D35" s="34">
        <f t="shared" si="2"/>
        <v>0.5258041327673695</v>
      </c>
      <c r="E35" s="34">
        <f t="shared" si="3"/>
        <v>1.1756328809596057</v>
      </c>
      <c r="F35" s="34">
        <f t="shared" si="4"/>
        <v>0.5843281959454036</v>
      </c>
      <c r="G35" s="34">
        <f t="shared" si="5"/>
        <v>6.3438849599234715</v>
      </c>
    </row>
    <row r="36" spans="1:7" ht="14.25">
      <c r="A36" s="34">
        <f>nn29+delta</f>
        <v>600</v>
      </c>
      <c r="B36" s="34">
        <f t="shared" si="0"/>
        <v>1113.7183700452103</v>
      </c>
      <c r="C36" s="34">
        <f t="shared" si="1"/>
        <v>175.4387700452104</v>
      </c>
      <c r="D36" s="34">
        <f t="shared" si="2"/>
        <v>0.5387358385546281</v>
      </c>
      <c r="E36" s="34">
        <f t="shared" si="3"/>
        <v>1.1869792011306761</v>
      </c>
      <c r="F36" s="34">
        <f t="shared" si="4"/>
        <v>0.6023727885192022</v>
      </c>
      <c r="G36" s="34">
        <f t="shared" si="5"/>
        <v>6.191607632188894</v>
      </c>
    </row>
    <row r="37" spans="1:7" ht="14.25">
      <c r="A37" s="34">
        <f>nn30+delta</f>
        <v>620</v>
      </c>
      <c r="B37" s="34">
        <f t="shared" si="0"/>
        <v>1124.6193168251023</v>
      </c>
      <c r="C37" s="34">
        <f t="shared" si="1"/>
        <v>186.3397168251023</v>
      </c>
      <c r="D37" s="34">
        <f t="shared" si="2"/>
        <v>0.5512976619949173</v>
      </c>
      <c r="E37" s="34">
        <f t="shared" si="3"/>
        <v>1.1985972164641567</v>
      </c>
      <c r="F37" s="34">
        <f t="shared" si="4"/>
        <v>0.6202436686773504</v>
      </c>
      <c r="G37" s="34">
        <f t="shared" si="5"/>
        <v>6.050526167040543</v>
      </c>
    </row>
    <row r="38" spans="1:7" ht="14.25">
      <c r="A38" s="34">
        <f>nn31+delta</f>
        <v>640</v>
      </c>
      <c r="B38" s="34">
        <f aca="true" t="shared" si="6" ref="B38:B56">SQRT(xx^2+em^2)</f>
        <v>1135.7678494200125</v>
      </c>
      <c r="C38" s="34">
        <f aca="true" t="shared" si="7" ref="C38:C56">etot-em</f>
        <v>197.4882494200125</v>
      </c>
      <c r="D38" s="34">
        <f aca="true" t="shared" si="8" ref="D38:D56">xx/etot</f>
        <v>0.5634954364369623</v>
      </c>
      <c r="E38" s="34">
        <f aca="true" t="shared" si="9" ref="E38:E56">1/SQRT(1-betaxx^2)</f>
        <v>1.210479103904649</v>
      </c>
      <c r="F38" s="34">
        <f aca="true" t="shared" si="10" ref="F38:F56">0.5*LN((etot+xx)/(etot-xx))</f>
        <v>0.6379402139790941</v>
      </c>
      <c r="G38" s="34">
        <f t="shared" si="5"/>
        <v>5.9195526956173925</v>
      </c>
    </row>
    <row r="39" spans="1:7" ht="14.25">
      <c r="A39" s="34">
        <f>nn32+delta</f>
        <v>660</v>
      </c>
      <c r="B39" s="34">
        <f t="shared" si="6"/>
        <v>1147.1567494358214</v>
      </c>
      <c r="C39" s="34">
        <f t="shared" si="7"/>
        <v>208.87714943582148</v>
      </c>
      <c r="D39" s="34">
        <f t="shared" si="8"/>
        <v>0.5753354982434545</v>
      </c>
      <c r="E39" s="34">
        <f t="shared" si="9"/>
        <v>1.222617170229238</v>
      </c>
      <c r="F39" s="34">
        <f t="shared" si="10"/>
        <v>0.6554620468932898</v>
      </c>
      <c r="G39" s="34">
        <f aca="true" t="shared" si="11" ref="G39:G56">100/(betaxx*29.979246)</f>
        <v>5.797731827624923</v>
      </c>
    </row>
    <row r="40" spans="1:7" ht="14.25">
      <c r="A40" s="34">
        <f>nn33a+delta</f>
        <v>680</v>
      </c>
      <c r="B40" s="34">
        <f t="shared" si="6"/>
        <v>1158.7789296393682</v>
      </c>
      <c r="C40" s="34">
        <f t="shared" si="7"/>
        <v>220.49932963936828</v>
      </c>
      <c r="D40" s="34">
        <f t="shared" si="8"/>
        <v>0.5868246156422844</v>
      </c>
      <c r="E40" s="34">
        <f t="shared" si="9"/>
        <v>1.2350038620037869</v>
      </c>
      <c r="F40" s="34">
        <f t="shared" si="10"/>
        <v>0.6728090194980101</v>
      </c>
      <c r="G40" s="34">
        <f t="shared" si="11"/>
        <v>5.684221215017766</v>
      </c>
    </row>
    <row r="41" spans="1:7" ht="14.25">
      <c r="A41" s="34">
        <f>nn34+delta</f>
        <v>700</v>
      </c>
      <c r="B41" s="34">
        <f t="shared" si="6"/>
        <v>1170.6274419199988</v>
      </c>
      <c r="C41" s="34">
        <f t="shared" si="7"/>
        <v>232.3478419199988</v>
      </c>
      <c r="D41" s="34">
        <f t="shared" si="8"/>
        <v>0.5979699218838561</v>
      </c>
      <c r="E41" s="34">
        <f t="shared" si="9"/>
        <v>1.2476317740681975</v>
      </c>
      <c r="F41" s="34">
        <f t="shared" si="10"/>
        <v>0.689981198397028</v>
      </c>
      <c r="G41" s="34">
        <f t="shared" si="11"/>
        <v>5.5782754410453474</v>
      </c>
    </row>
    <row r="42" spans="1:7" ht="14.25">
      <c r="A42" s="34">
        <f>nn35+delta</f>
        <v>720</v>
      </c>
      <c r="B42" s="34">
        <f t="shared" si="6"/>
        <v>1182.6954839586392</v>
      </c>
      <c r="C42" s="34">
        <f t="shared" si="7"/>
        <v>244.41588395863926</v>
      </c>
      <c r="D42" s="34">
        <f t="shared" si="8"/>
        <v>0.608778852854045</v>
      </c>
      <c r="E42" s="34">
        <f t="shared" si="9"/>
        <v>1.260493656644181</v>
      </c>
      <c r="F42" s="34">
        <f t="shared" si="10"/>
        <v>0.706978849940163</v>
      </c>
      <c r="G42" s="34">
        <f t="shared" si="11"/>
        <v>5.479232588468774</v>
      </c>
    </row>
    <row r="43" spans="1:7" ht="14.25">
      <c r="A43" s="34">
        <f>nn36+delta</f>
        <v>740</v>
      </c>
      <c r="B43" s="34">
        <f t="shared" si="6"/>
        <v>1194.9764046943185</v>
      </c>
      <c r="C43" s="34">
        <f t="shared" si="7"/>
        <v>256.69680469431853</v>
      </c>
      <c r="D43" s="34">
        <f t="shared" si="8"/>
        <v>0.6192590892113021</v>
      </c>
      <c r="E43" s="34">
        <f t="shared" si="9"/>
        <v>1.2735824211613667</v>
      </c>
      <c r="F43" s="34">
        <f t="shared" si="10"/>
        <v>0.7238024258207539</v>
      </c>
      <c r="G43" s="34">
        <f t="shared" si="11"/>
        <v>5.386502980484054</v>
      </c>
    </row>
    <row r="44" spans="1:7" ht="14.25">
      <c r="A44" s="34">
        <f>nn37+delta</f>
        <v>760</v>
      </c>
      <c r="B44" s="34">
        <f t="shared" si="6"/>
        <v>1207.4637086787163</v>
      </c>
      <c r="C44" s="34">
        <f t="shared" si="7"/>
        <v>269.18410867871637</v>
      </c>
      <c r="D44" s="34">
        <f t="shared" si="8"/>
        <v>0.629418503046887</v>
      </c>
      <c r="E44" s="34">
        <f t="shared" si="9"/>
        <v>1.2868911448982974</v>
      </c>
      <c r="F44" s="34">
        <f t="shared" si="10"/>
        <v>0.7404525491107177</v>
      </c>
      <c r="G44" s="34">
        <f t="shared" si="11"/>
        <v>5.2995596945138415</v>
      </c>
    </row>
    <row r="45" spans="1:7" ht="14.25">
      <c r="A45" s="34">
        <f>nn38+delta</f>
        <v>780</v>
      </c>
      <c r="B45" s="34">
        <f t="shared" si="6"/>
        <v>1220.1510594086947</v>
      </c>
      <c r="C45" s="34">
        <f t="shared" si="7"/>
        <v>281.8714594086947</v>
      </c>
      <c r="D45" s="34">
        <f t="shared" si="8"/>
        <v>0.6392651090087164</v>
      </c>
      <c r="E45" s="34">
        <f t="shared" si="9"/>
        <v>1.3004130745341735</v>
      </c>
      <c r="F45" s="34">
        <f t="shared" si="10"/>
        <v>0.7569300007818482</v>
      </c>
      <c r="G45" s="34">
        <f t="shared" si="11"/>
        <v>5.217930531045201</v>
      </c>
    </row>
    <row r="46" spans="1:7" ht="14.25">
      <c r="A46" s="34">
        <f>nn39+delta</f>
        <v>800</v>
      </c>
      <c r="B46" s="34">
        <f t="shared" si="6"/>
        <v>1233.0322817250812</v>
      </c>
      <c r="C46" s="34">
        <f t="shared" si="7"/>
        <v>294.7526817250813</v>
      </c>
      <c r="D46" s="34">
        <f t="shared" si="8"/>
        <v>0.648807019781149</v>
      </c>
      <c r="E46" s="34">
        <f t="shared" si="9"/>
        <v>1.314141628705432</v>
      </c>
      <c r="F46" s="34">
        <f t="shared" si="10"/>
        <v>0.7732357067512504</v>
      </c>
      <c r="G46" s="34">
        <f t="shared" si="11"/>
        <v>5.141191183248409</v>
      </c>
    </row>
    <row r="47" spans="1:7" ht="14.25">
      <c r="A47" s="34">
        <f>nn40+delta</f>
        <v>820</v>
      </c>
      <c r="B47" s="34">
        <f t="shared" si="6"/>
        <v>1246.1013633634143</v>
      </c>
      <c r="C47" s="34">
        <f t="shared" si="7"/>
        <v>307.82176336341433</v>
      </c>
      <c r="D47" s="34">
        <f t="shared" si="8"/>
        <v>0.6580524057743562</v>
      </c>
      <c r="E47" s="34">
        <f t="shared" si="9"/>
        <v>1.3280703996584966</v>
      </c>
      <c r="F47" s="34">
        <f t="shared" si="10"/>
        <v>0.7893707254790951</v>
      </c>
      <c r="G47" s="34">
        <f t="shared" si="11"/>
        <v>5.068959402714042</v>
      </c>
    </row>
    <row r="48" spans="1:7" ht="14.25">
      <c r="A48" s="34">
        <f>nn41+delta</f>
        <v>840</v>
      </c>
      <c r="B48" s="34">
        <f t="shared" si="6"/>
        <v>1259.3524557391231</v>
      </c>
      <c r="C48" s="34">
        <f t="shared" si="7"/>
        <v>321.07285573912316</v>
      </c>
      <c r="D48" s="34">
        <f t="shared" si="8"/>
        <v>0.6670094588468467</v>
      </c>
      <c r="E48" s="34">
        <f t="shared" si="9"/>
        <v>1.3421931540866106</v>
      </c>
      <c r="F48" s="34">
        <f t="shared" si="10"/>
        <v>0.8053362361382196</v>
      </c>
      <c r="G48" s="34">
        <f t="shared" si="11"/>
        <v>5.000889995616123</v>
      </c>
    </row>
    <row r="49" spans="1:7" ht="14.25">
      <c r="A49" s="34">
        <f>nn42+delta</f>
        <v>860</v>
      </c>
      <c r="B49" s="34">
        <f t="shared" si="6"/>
        <v>1272.779874045846</v>
      </c>
      <c r="C49" s="34">
        <f t="shared" si="7"/>
        <v>334.50027404584614</v>
      </c>
      <c r="D49" s="34">
        <f t="shared" si="8"/>
        <v>0.675686359862273</v>
      </c>
      <c r="E49" s="34">
        <f t="shared" si="9"/>
        <v>1.3565038332346202</v>
      </c>
      <c r="F49" s="34">
        <f t="shared" si="10"/>
        <v>0.8211335273674545</v>
      </c>
      <c r="G49" s="34">
        <f t="shared" si="11"/>
        <v>4.936670514420969</v>
      </c>
    </row>
    <row r="50" spans="1:7" ht="14.25">
      <c r="A50" s="34">
        <f>nn43+delta</f>
        <v>880</v>
      </c>
      <c r="B50" s="34">
        <f t="shared" si="6"/>
        <v>1286.3780967414518</v>
      </c>
      <c r="C50" s="34">
        <f t="shared" si="7"/>
        <v>348.09849674145187</v>
      </c>
      <c r="D50" s="34">
        <f t="shared" si="8"/>
        <v>0.6840912498659175</v>
      </c>
      <c r="E50" s="34">
        <f t="shared" si="9"/>
        <v>1.370996552351188</v>
      </c>
      <c r="F50" s="34">
        <f t="shared" si="10"/>
        <v>0.8367639866138732</v>
      </c>
      <c r="G50" s="34">
        <f t="shared" si="11"/>
        <v>4.876017534769386</v>
      </c>
    </row>
    <row r="51" spans="1:7" ht="14.25">
      <c r="A51" s="34">
        <f>nn44+delta</f>
        <v>900</v>
      </c>
      <c r="B51" s="34">
        <f t="shared" si="6"/>
        <v>1300.1417644919188</v>
      </c>
      <c r="C51" s="34">
        <f t="shared" si="7"/>
        <v>361.86216449191886</v>
      </c>
      <c r="D51" s="34">
        <f t="shared" si="8"/>
        <v>0.6922322046563208</v>
      </c>
      <c r="E51" s="34">
        <f t="shared" si="9"/>
        <v>1.3856655995631995</v>
      </c>
      <c r="F51" s="34">
        <f t="shared" si="10"/>
        <v>0.852229090063403</v>
      </c>
      <c r="G51" s="34">
        <f t="shared" si="11"/>
        <v>4.8186734267652245</v>
      </c>
    </row>
    <row r="52" spans="1:7" ht="14.25">
      <c r="A52" s="34">
        <f>nn45+delta</f>
        <v>920</v>
      </c>
      <c r="B52" s="34">
        <f t="shared" si="6"/>
        <v>1314.0656786386896</v>
      </c>
      <c r="C52" s="34">
        <f t="shared" si="7"/>
        <v>375.7860786386897</v>
      </c>
      <c r="D52" s="34">
        <f t="shared" si="8"/>
        <v>0.7001172125224949</v>
      </c>
      <c r="E52" s="34">
        <f t="shared" si="9"/>
        <v>1.400505434242298</v>
      </c>
      <c r="F52" s="34">
        <f t="shared" si="10"/>
        <v>0.8675303931543212</v>
      </c>
      <c r="G52" s="34">
        <f t="shared" si="11"/>
        <v>4.764403545672496</v>
      </c>
    </row>
    <row r="53" spans="1:7" ht="14.25">
      <c r="A53" s="34">
        <f>nn46+delta</f>
        <v>940</v>
      </c>
      <c r="B53" s="34">
        <f t="shared" si="6"/>
        <v>1328.1447992505034</v>
      </c>
      <c r="C53" s="34">
        <f t="shared" si="7"/>
        <v>389.86519925050345</v>
      </c>
      <c r="D53" s="34">
        <f t="shared" si="8"/>
        <v>0.7077541549162857</v>
      </c>
      <c r="E53" s="34">
        <f t="shared" si="9"/>
        <v>1.4155106849285686</v>
      </c>
      <c r="F53" s="34">
        <f t="shared" si="10"/>
        <v>0.8826695216640268</v>
      </c>
      <c r="G53" s="34">
        <f t="shared" si="11"/>
        <v>4.712993779772391</v>
      </c>
    </row>
    <row r="54" spans="1:7" ht="14.25">
      <c r="A54" s="34">
        <f>nn47+delta</f>
        <v>960</v>
      </c>
      <c r="B54" s="34">
        <f t="shared" si="6"/>
        <v>1342.3742428161231</v>
      </c>
      <c r="C54" s="34">
        <f t="shared" si="7"/>
        <v>404.09464281612316</v>
      </c>
      <c r="D54" s="34">
        <f t="shared" si="8"/>
        <v>0.7151507898319379</v>
      </c>
      <c r="E54" s="34">
        <f t="shared" si="9"/>
        <v>1.4306761468714904</v>
      </c>
      <c r="F54" s="34">
        <f t="shared" si="10"/>
        <v>0.8976481633560696</v>
      </c>
      <c r="G54" s="34">
        <f t="shared" si="11"/>
        <v>4.664248403490406</v>
      </c>
    </row>
    <row r="55" spans="1:7" ht="14.25">
      <c r="A55" s="34">
        <f>nn48+delta</f>
        <v>980</v>
      </c>
      <c r="B55" s="34">
        <f t="shared" si="6"/>
        <v>1356.749279629866</v>
      </c>
      <c r="C55" s="34">
        <f t="shared" si="7"/>
        <v>418.46967962986594</v>
      </c>
      <c r="D55" s="34">
        <f t="shared" si="8"/>
        <v>0.7223147376701414</v>
      </c>
      <c r="E55" s="34">
        <f t="shared" si="9"/>
        <v>1.4459967792434854</v>
      </c>
      <c r="F55" s="34">
        <f t="shared" si="10"/>
        <v>0.9124680601716388</v>
      </c>
      <c r="G55" s="34">
        <f t="shared" si="11"/>
        <v>4.61798819236027</v>
      </c>
    </row>
    <row r="56" spans="1:7" ht="14.25">
      <c r="A56" s="34">
        <f>nn49+delta</f>
        <v>1000</v>
      </c>
      <c r="B56" s="34">
        <f t="shared" si="6"/>
        <v>1371.265330917456</v>
      </c>
      <c r="C56" s="34">
        <f t="shared" si="7"/>
        <v>432.98573091745595</v>
      </c>
      <c r="D56" s="34">
        <f t="shared" si="8"/>
        <v>0.729253469371199</v>
      </c>
      <c r="E56" s="34">
        <f t="shared" si="9"/>
        <v>1.4614677020767113</v>
      </c>
      <c r="F56" s="34">
        <f t="shared" si="10"/>
        <v>0.9271310009475244</v>
      </c>
      <c r="G56" s="34">
        <f t="shared" si="11"/>
        <v>4.574048763325989</v>
      </c>
    </row>
  </sheetData>
  <sheetProtection password="CEF1" sheet="1"/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3"/>
  <sheetViews>
    <sheetView zoomScalePageLayoutView="0" workbookViewId="0" topLeftCell="A1">
      <selection activeCell="F3" sqref="F3"/>
    </sheetView>
  </sheetViews>
  <sheetFormatPr defaultColWidth="8.796875" defaultRowHeight="14.25"/>
  <sheetData>
    <row r="2" spans="2:13" ht="20.25">
      <c r="B2" s="30" t="s">
        <v>204</v>
      </c>
      <c r="C2" s="30"/>
      <c r="D2" s="30"/>
      <c r="E2" s="30"/>
      <c r="F2" s="30"/>
      <c r="G2" s="30"/>
      <c r="H2" s="30"/>
      <c r="I2" s="31"/>
      <c r="J2" s="29"/>
      <c r="K2" s="39" t="s">
        <v>210</v>
      </c>
      <c r="L2" s="40">
        <f>em</f>
        <v>938.2796</v>
      </c>
      <c r="M2" s="41" t="s">
        <v>203</v>
      </c>
    </row>
    <row r="3" spans="2:13" ht="16.5">
      <c r="B3" t="s">
        <v>202</v>
      </c>
      <c r="K3" s="42" t="s">
        <v>208</v>
      </c>
      <c r="L3" s="32">
        <f>pedmax</f>
        <v>1000</v>
      </c>
      <c r="M3" s="33" t="s">
        <v>203</v>
      </c>
    </row>
  </sheetData>
  <sheetProtection password="CEF1" sheet="1"/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74"/>
  <sheetViews>
    <sheetView zoomScalePageLayoutView="0" workbookViewId="0" topLeftCell="A1">
      <selection activeCell="B14" sqref="B14"/>
    </sheetView>
  </sheetViews>
  <sheetFormatPr defaultColWidth="8.796875" defaultRowHeight="14.25"/>
  <sheetData>
    <row r="1" ht="15">
      <c r="A1" s="5" t="s">
        <v>193</v>
      </c>
    </row>
    <row r="3" ht="15">
      <c r="A3" s="19" t="s">
        <v>40</v>
      </c>
    </row>
    <row r="4" ht="15">
      <c r="A4" s="19" t="s">
        <v>226</v>
      </c>
    </row>
    <row r="5" ht="15">
      <c r="A5" s="19" t="s">
        <v>41</v>
      </c>
    </row>
    <row r="6" ht="15">
      <c r="A6" s="19" t="s">
        <v>42</v>
      </c>
    </row>
    <row r="7" ht="15">
      <c r="A7" s="19" t="s">
        <v>43</v>
      </c>
    </row>
    <row r="8" ht="15">
      <c r="A8" s="19" t="s">
        <v>44</v>
      </c>
    </row>
    <row r="9" ht="15">
      <c r="A9" s="19" t="s">
        <v>45</v>
      </c>
    </row>
    <row r="10" ht="15">
      <c r="A10" s="19" t="s">
        <v>46</v>
      </c>
    </row>
    <row r="11" ht="15">
      <c r="A11" s="19" t="s">
        <v>47</v>
      </c>
    </row>
    <row r="12" ht="15">
      <c r="A12" s="19" t="s">
        <v>48</v>
      </c>
    </row>
    <row r="13" ht="15">
      <c r="A13" s="19" t="s">
        <v>49</v>
      </c>
    </row>
    <row r="14" ht="15">
      <c r="A14" s="19" t="s">
        <v>50</v>
      </c>
    </row>
    <row r="15" ht="15">
      <c r="A15" s="19" t="s">
        <v>51</v>
      </c>
    </row>
    <row r="16" ht="15">
      <c r="A16" s="19" t="s">
        <v>52</v>
      </c>
    </row>
    <row r="17" ht="15">
      <c r="A17" s="19" t="s">
        <v>53</v>
      </c>
    </row>
    <row r="18" ht="15">
      <c r="A18" s="19" t="s">
        <v>54</v>
      </c>
    </row>
    <row r="19" ht="15">
      <c r="A19" s="19" t="s">
        <v>55</v>
      </c>
    </row>
    <row r="20" ht="15">
      <c r="A20" s="19" t="s">
        <v>56</v>
      </c>
    </row>
    <row r="21" ht="15">
      <c r="A21" s="19" t="s">
        <v>57</v>
      </c>
    </row>
    <row r="22" ht="15">
      <c r="A22" s="19" t="s">
        <v>58</v>
      </c>
    </row>
    <row r="23" ht="15">
      <c r="A23" s="19" t="s">
        <v>59</v>
      </c>
    </row>
    <row r="24" ht="15">
      <c r="A24" s="19" t="s">
        <v>60</v>
      </c>
    </row>
    <row r="25" ht="15">
      <c r="A25" s="19" t="s">
        <v>61</v>
      </c>
    </row>
    <row r="26" ht="15">
      <c r="A26" s="19" t="s">
        <v>62</v>
      </c>
    </row>
    <row r="27" ht="15">
      <c r="A27" s="19" t="s">
        <v>63</v>
      </c>
    </row>
    <row r="28" ht="15">
      <c r="A28" s="19" t="s">
        <v>48</v>
      </c>
    </row>
    <row r="29" ht="15">
      <c r="A29" s="19" t="s">
        <v>64</v>
      </c>
    </row>
    <row r="30" ht="15">
      <c r="A30" s="19" t="s">
        <v>65</v>
      </c>
    </row>
    <row r="31" ht="15">
      <c r="A31" s="19" t="s">
        <v>66</v>
      </c>
    </row>
    <row r="32" ht="15">
      <c r="A32" s="19" t="s">
        <v>67</v>
      </c>
    </row>
    <row r="33" ht="15">
      <c r="A33" s="19" t="s">
        <v>68</v>
      </c>
    </row>
    <row r="34" ht="15">
      <c r="A34" s="19" t="s">
        <v>69</v>
      </c>
    </row>
    <row r="35" ht="15">
      <c r="A35" s="19" t="s">
        <v>70</v>
      </c>
    </row>
    <row r="36" ht="15">
      <c r="A36" s="19" t="s">
        <v>71</v>
      </c>
    </row>
    <row r="37" ht="15">
      <c r="A37" s="19" t="s">
        <v>72</v>
      </c>
    </row>
    <row r="38" ht="15">
      <c r="A38" s="19" t="s">
        <v>73</v>
      </c>
    </row>
    <row r="39" ht="15">
      <c r="A39" s="19" t="s">
        <v>74</v>
      </c>
    </row>
    <row r="40" ht="15">
      <c r="A40" s="19" t="s">
        <v>75</v>
      </c>
    </row>
    <row r="41" ht="15">
      <c r="A41" s="19" t="s">
        <v>76</v>
      </c>
    </row>
    <row r="42" ht="15">
      <c r="A42" s="19" t="s">
        <v>77</v>
      </c>
    </row>
    <row r="43" ht="15">
      <c r="A43" s="19" t="s">
        <v>78</v>
      </c>
    </row>
    <row r="44" ht="15">
      <c r="A44" s="19" t="s">
        <v>79</v>
      </c>
    </row>
    <row r="45" ht="15">
      <c r="A45" s="19" t="s">
        <v>80</v>
      </c>
    </row>
    <row r="46" ht="15">
      <c r="A46" s="19" t="s">
        <v>81</v>
      </c>
    </row>
    <row r="47" ht="15">
      <c r="A47" s="19" t="s">
        <v>82</v>
      </c>
    </row>
    <row r="48" ht="15">
      <c r="A48" s="19" t="s">
        <v>77</v>
      </c>
    </row>
    <row r="49" ht="15">
      <c r="A49" s="19" t="s">
        <v>83</v>
      </c>
    </row>
    <row r="50" ht="15">
      <c r="A50" s="19" t="s">
        <v>84</v>
      </c>
    </row>
    <row r="51" ht="15">
      <c r="A51" s="19" t="s">
        <v>85</v>
      </c>
    </row>
    <row r="52" ht="15">
      <c r="A52" s="19" t="s">
        <v>86</v>
      </c>
    </row>
    <row r="53" ht="15">
      <c r="A53" s="19" t="s">
        <v>77</v>
      </c>
    </row>
    <row r="54" ht="15">
      <c r="A54" s="19" t="s">
        <v>87</v>
      </c>
    </row>
    <row r="55" ht="15">
      <c r="A55" s="19" t="s">
        <v>88</v>
      </c>
    </row>
    <row r="56" ht="15">
      <c r="A56" s="19" t="s">
        <v>89</v>
      </c>
    </row>
    <row r="57" ht="15">
      <c r="A57" s="19" t="s">
        <v>77</v>
      </c>
    </row>
    <row r="58" ht="15">
      <c r="A58" s="19" t="s">
        <v>90</v>
      </c>
    </row>
    <row r="59" ht="15">
      <c r="A59" s="19" t="s">
        <v>91</v>
      </c>
    </row>
    <row r="60" ht="15">
      <c r="A60" s="19" t="s">
        <v>85</v>
      </c>
    </row>
    <row r="61" ht="15">
      <c r="A61" s="19" t="s">
        <v>86</v>
      </c>
    </row>
    <row r="62" ht="15">
      <c r="A62" s="19" t="s">
        <v>77</v>
      </c>
    </row>
    <row r="63" ht="15">
      <c r="A63" s="19" t="s">
        <v>92</v>
      </c>
    </row>
    <row r="64" ht="15">
      <c r="A64" s="19" t="s">
        <v>93</v>
      </c>
    </row>
    <row r="65" ht="15">
      <c r="A65" s="19" t="s">
        <v>94</v>
      </c>
    </row>
    <row r="66" ht="15">
      <c r="A66" s="19" t="s">
        <v>95</v>
      </c>
    </row>
    <row r="67" ht="15">
      <c r="A67" s="19" t="s">
        <v>96</v>
      </c>
    </row>
    <row r="68" ht="15">
      <c r="A68" s="19" t="s">
        <v>77</v>
      </c>
    </row>
    <row r="69" ht="15">
      <c r="A69" s="19" t="s">
        <v>97</v>
      </c>
    </row>
    <row r="70" ht="15">
      <c r="A70" s="19" t="s">
        <v>98</v>
      </c>
    </row>
    <row r="71" ht="15">
      <c r="A71" s="19" t="s">
        <v>99</v>
      </c>
    </row>
    <row r="72" ht="15">
      <c r="A72" s="19" t="s">
        <v>100</v>
      </c>
    </row>
    <row r="73" ht="15">
      <c r="A73" s="19" t="s">
        <v>101</v>
      </c>
    </row>
    <row r="74" ht="15">
      <c r="A74" s="19" t="s">
        <v>102</v>
      </c>
    </row>
    <row r="75" ht="15">
      <c r="A75" s="19" t="s">
        <v>103</v>
      </c>
    </row>
    <row r="76" ht="15">
      <c r="A76" s="19" t="s">
        <v>48</v>
      </c>
    </row>
    <row r="77" ht="15">
      <c r="A77" s="19" t="s">
        <v>104</v>
      </c>
    </row>
    <row r="78" ht="15">
      <c r="A78" s="19" t="s">
        <v>105</v>
      </c>
    </row>
    <row r="79" ht="15">
      <c r="A79" s="19" t="s">
        <v>106</v>
      </c>
    </row>
    <row r="80" ht="15">
      <c r="A80" s="19" t="s">
        <v>107</v>
      </c>
    </row>
    <row r="81" ht="15">
      <c r="A81" s="19" t="s">
        <v>108</v>
      </c>
    </row>
    <row r="82" ht="15">
      <c r="A82" s="19" t="s">
        <v>109</v>
      </c>
    </row>
    <row r="83" ht="15">
      <c r="A83" s="19" t="s">
        <v>110</v>
      </c>
    </row>
    <row r="84" ht="15">
      <c r="A84" s="19" t="s">
        <v>111</v>
      </c>
    </row>
    <row r="85" ht="15">
      <c r="A85" s="19" t="s">
        <v>112</v>
      </c>
    </row>
    <row r="86" ht="15">
      <c r="A86" s="19" t="s">
        <v>113</v>
      </c>
    </row>
    <row r="87" ht="15">
      <c r="A87" s="19" t="s">
        <v>48</v>
      </c>
    </row>
    <row r="88" ht="15">
      <c r="A88" s="19" t="s">
        <v>48</v>
      </c>
    </row>
    <row r="89" ht="15">
      <c r="A89" s="19" t="s">
        <v>48</v>
      </c>
    </row>
    <row r="90" ht="15">
      <c r="A90" s="19" t="s">
        <v>48</v>
      </c>
    </row>
    <row r="91" ht="15">
      <c r="A91" s="19" t="s">
        <v>64</v>
      </c>
    </row>
    <row r="92" ht="15">
      <c r="A92" s="19" t="s">
        <v>114</v>
      </c>
    </row>
    <row r="93" ht="15">
      <c r="A93" s="19" t="s">
        <v>115</v>
      </c>
    </row>
    <row r="94" ht="15">
      <c r="A94" s="19" t="s">
        <v>116</v>
      </c>
    </row>
    <row r="95" ht="15">
      <c r="A95" s="19" t="s">
        <v>117</v>
      </c>
    </row>
    <row r="96" ht="15">
      <c r="A96" s="19" t="s">
        <v>70</v>
      </c>
    </row>
    <row r="97" ht="15">
      <c r="A97" s="19" t="s">
        <v>118</v>
      </c>
    </row>
    <row r="98" ht="15">
      <c r="A98" s="19" t="s">
        <v>72</v>
      </c>
    </row>
    <row r="99" ht="15">
      <c r="A99" s="19" t="s">
        <v>119</v>
      </c>
    </row>
    <row r="100" ht="15">
      <c r="A100" s="19" t="s">
        <v>74</v>
      </c>
    </row>
    <row r="101" ht="15">
      <c r="A101" s="19" t="s">
        <v>120</v>
      </c>
    </row>
    <row r="102" ht="15">
      <c r="A102" s="19" t="s">
        <v>121</v>
      </c>
    </row>
    <row r="103" ht="15">
      <c r="A103" s="19" t="s">
        <v>77</v>
      </c>
    </row>
    <row r="104" ht="15">
      <c r="A104" s="19" t="s">
        <v>122</v>
      </c>
    </row>
    <row r="105" ht="15">
      <c r="A105" s="19" t="s">
        <v>123</v>
      </c>
    </row>
    <row r="106" ht="15">
      <c r="A106" s="19" t="s">
        <v>74</v>
      </c>
    </row>
    <row r="107" ht="15">
      <c r="A107" s="19" t="s">
        <v>124</v>
      </c>
    </row>
    <row r="108" ht="15">
      <c r="A108" s="19" t="s">
        <v>125</v>
      </c>
    </row>
    <row r="109" ht="15">
      <c r="A109" s="19" t="s">
        <v>77</v>
      </c>
    </row>
    <row r="110" ht="15">
      <c r="A110" s="19" t="s">
        <v>126</v>
      </c>
    </row>
    <row r="111" ht="15">
      <c r="A111" s="19" t="s">
        <v>127</v>
      </c>
    </row>
    <row r="112" ht="15">
      <c r="A112" s="19" t="s">
        <v>128</v>
      </c>
    </row>
    <row r="113" ht="15">
      <c r="A113" s="19" t="s">
        <v>129</v>
      </c>
    </row>
    <row r="114" ht="15">
      <c r="A114" s="19" t="s">
        <v>130</v>
      </c>
    </row>
    <row r="115" ht="15">
      <c r="A115" s="19" t="s">
        <v>131</v>
      </c>
    </row>
    <row r="116" ht="15">
      <c r="A116" s="19" t="s">
        <v>132</v>
      </c>
    </row>
    <row r="117" ht="15">
      <c r="A117" s="19" t="s">
        <v>133</v>
      </c>
    </row>
    <row r="118" ht="15">
      <c r="A118" s="19" t="s">
        <v>134</v>
      </c>
    </row>
    <row r="119" ht="15">
      <c r="A119" s="19" t="s">
        <v>135</v>
      </c>
    </row>
    <row r="120" ht="15">
      <c r="A120" s="19" t="s">
        <v>136</v>
      </c>
    </row>
    <row r="121" ht="15">
      <c r="A121" s="19" t="s">
        <v>137</v>
      </c>
    </row>
    <row r="122" ht="15">
      <c r="A122" s="19" t="s">
        <v>138</v>
      </c>
    </row>
    <row r="123" ht="15">
      <c r="A123" s="19" t="s">
        <v>139</v>
      </c>
    </row>
    <row r="124" ht="15">
      <c r="A124" s="19" t="s">
        <v>140</v>
      </c>
    </row>
    <row r="125" ht="15">
      <c r="A125" s="19" t="s">
        <v>141</v>
      </c>
    </row>
    <row r="126" ht="15">
      <c r="A126" s="19" t="s">
        <v>142</v>
      </c>
    </row>
    <row r="127" ht="15">
      <c r="A127" s="19" t="s">
        <v>143</v>
      </c>
    </row>
    <row r="128" ht="15">
      <c r="A128" s="19" t="s">
        <v>144</v>
      </c>
    </row>
    <row r="129" ht="15">
      <c r="A129" s="19" t="s">
        <v>145</v>
      </c>
    </row>
    <row r="130" ht="15">
      <c r="A130" s="19" t="s">
        <v>146</v>
      </c>
    </row>
    <row r="131" ht="15">
      <c r="A131" s="19" t="s">
        <v>147</v>
      </c>
    </row>
    <row r="132" ht="15">
      <c r="A132" s="19" t="s">
        <v>148</v>
      </c>
    </row>
    <row r="133" ht="15">
      <c r="A133" s="19" t="s">
        <v>149</v>
      </c>
    </row>
    <row r="134" ht="15">
      <c r="A134" s="19" t="s">
        <v>150</v>
      </c>
    </row>
    <row r="135" ht="15">
      <c r="A135" s="19" t="s">
        <v>151</v>
      </c>
    </row>
    <row r="136" ht="15">
      <c r="A136" s="19" t="s">
        <v>152</v>
      </c>
    </row>
    <row r="137" ht="15">
      <c r="A137" s="19" t="s">
        <v>153</v>
      </c>
    </row>
    <row r="138" ht="15">
      <c r="A138" s="19" t="s">
        <v>154</v>
      </c>
    </row>
    <row r="139" ht="15">
      <c r="A139" s="19" t="s">
        <v>155</v>
      </c>
    </row>
    <row r="140" ht="15">
      <c r="A140" s="19" t="s">
        <v>156</v>
      </c>
    </row>
    <row r="141" ht="15">
      <c r="A141" s="19" t="s">
        <v>157</v>
      </c>
    </row>
    <row r="142" ht="15">
      <c r="A142" s="19" t="s">
        <v>158</v>
      </c>
    </row>
    <row r="143" ht="15">
      <c r="A143" s="19" t="s">
        <v>159</v>
      </c>
    </row>
    <row r="144" ht="15">
      <c r="A144" s="19" t="s">
        <v>160</v>
      </c>
    </row>
    <row r="145" ht="15">
      <c r="A145" s="19" t="s">
        <v>161</v>
      </c>
    </row>
    <row r="146" ht="15">
      <c r="A146" s="19" t="s">
        <v>162</v>
      </c>
    </row>
    <row r="147" ht="15">
      <c r="A147" s="19" t="s">
        <v>163</v>
      </c>
    </row>
    <row r="148" ht="15">
      <c r="A148" s="19" t="s">
        <v>164</v>
      </c>
    </row>
    <row r="149" ht="15">
      <c r="A149" s="19" t="s">
        <v>165</v>
      </c>
    </row>
    <row r="150" ht="15">
      <c r="A150" s="19" t="s">
        <v>166</v>
      </c>
    </row>
    <row r="151" ht="15">
      <c r="A151" s="19" t="s">
        <v>167</v>
      </c>
    </row>
    <row r="152" ht="15">
      <c r="A152" s="19" t="s">
        <v>168</v>
      </c>
    </row>
    <row r="153" ht="15">
      <c r="A153" s="19" t="s">
        <v>169</v>
      </c>
    </row>
    <row r="154" ht="15">
      <c r="A154" s="19" t="s">
        <v>170</v>
      </c>
    </row>
    <row r="155" ht="15">
      <c r="A155" s="19" t="s">
        <v>171</v>
      </c>
    </row>
    <row r="156" ht="15">
      <c r="A156" s="19" t="s">
        <v>172</v>
      </c>
    </row>
    <row r="157" ht="15">
      <c r="A157" s="19" t="s">
        <v>173</v>
      </c>
    </row>
    <row r="158" ht="15">
      <c r="A158" s="19" t="s">
        <v>174</v>
      </c>
    </row>
    <row r="159" ht="15">
      <c r="A159" s="19" t="s">
        <v>175</v>
      </c>
    </row>
    <row r="160" ht="15">
      <c r="A160" s="19" t="s">
        <v>176</v>
      </c>
    </row>
    <row r="161" ht="15">
      <c r="A161" s="19" t="s">
        <v>177</v>
      </c>
    </row>
    <row r="162" ht="15">
      <c r="A162" s="19" t="s">
        <v>178</v>
      </c>
    </row>
    <row r="163" ht="15">
      <c r="A163" s="19" t="s">
        <v>179</v>
      </c>
    </row>
    <row r="164" ht="15">
      <c r="A164" s="19" t="s">
        <v>180</v>
      </c>
    </row>
    <row r="165" ht="15">
      <c r="A165" s="19" t="s">
        <v>181</v>
      </c>
    </row>
    <row r="166" ht="15">
      <c r="A166" s="19" t="s">
        <v>182</v>
      </c>
    </row>
    <row r="167" ht="15">
      <c r="A167" s="19" t="s">
        <v>183</v>
      </c>
    </row>
    <row r="168" ht="15">
      <c r="A168" s="19" t="s">
        <v>184</v>
      </c>
    </row>
    <row r="169" ht="15">
      <c r="A169" s="19" t="s">
        <v>185</v>
      </c>
    </row>
    <row r="170" ht="15">
      <c r="A170" s="19" t="s">
        <v>48</v>
      </c>
    </row>
    <row r="171" ht="15">
      <c r="A171" s="19" t="s">
        <v>48</v>
      </c>
    </row>
    <row r="172" ht="15">
      <c r="A172" s="19" t="s">
        <v>64</v>
      </c>
    </row>
    <row r="173" ht="15">
      <c r="A173" s="19" t="s">
        <v>186</v>
      </c>
    </row>
    <row r="174" ht="15">
      <c r="A174" s="19" t="s">
        <v>187</v>
      </c>
    </row>
  </sheetData>
  <sheetProtection password="CEF1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dcterms:created xsi:type="dcterms:W3CDTF">2012-08-29T08:14:41Z</dcterms:created>
  <dcterms:modified xsi:type="dcterms:W3CDTF">2014-06-11T23:10:00Z</dcterms:modified>
  <cp:category/>
  <cp:version/>
  <cp:contentType/>
  <cp:contentStatus/>
</cp:coreProperties>
</file>